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37 сесія\рішення готові 37\"/>
    </mc:Choice>
  </mc:AlternateContent>
  <xr:revisionPtr revIDLastSave="0" documentId="13_ncr:40009_{72001FBB-C5BA-469C-9131-C6625B588C26}" xr6:coauthVersionLast="47" xr6:coauthVersionMax="47" xr10:uidLastSave="{00000000-0000-0000-0000-000000000000}"/>
  <bookViews>
    <workbookView xWindow="-28920" yWindow="-120" windowWidth="29040" windowHeight="15840" activeTab="5"/>
  </bookViews>
  <sheets>
    <sheet name="Додаток 1" sheetId="2" r:id="rId1"/>
    <sheet name="Додаток 2" sheetId="6" r:id="rId2"/>
    <sheet name="Додаток 3" sheetId="1" r:id="rId3"/>
    <sheet name="Додаток 4" sheetId="7" r:id="rId4"/>
    <sheet name="Додаток 5" sheetId="4" r:id="rId5"/>
    <sheet name="Додаток 6" sheetId="5" r:id="rId6"/>
  </sheets>
  <externalReferences>
    <externalReference r:id="rId7"/>
    <externalReference r:id="rId8"/>
  </externalReferences>
  <definedNames>
    <definedName name="_Б21000" localSheetId="1">#REF!</definedName>
    <definedName name="_Б21000" localSheetId="3">#REF!</definedName>
    <definedName name="_Б21000">#REF!</definedName>
    <definedName name="_Б22000" localSheetId="1">#REF!</definedName>
    <definedName name="_Б22000" localSheetId="3">#REF!</definedName>
    <definedName name="_Б22000">#REF!</definedName>
    <definedName name="_Б22100" localSheetId="1">#REF!</definedName>
    <definedName name="_Б22100" localSheetId="3">#REF!</definedName>
    <definedName name="_Б22100">#REF!</definedName>
    <definedName name="_Б22110" localSheetId="1">#REF!</definedName>
    <definedName name="_Б22110" localSheetId="3">#REF!</definedName>
    <definedName name="_Б22110">#REF!</definedName>
    <definedName name="_Б22111" localSheetId="1">#REF!</definedName>
    <definedName name="_Б22111" localSheetId="3">#REF!</definedName>
    <definedName name="_Б22111">#REF!</definedName>
    <definedName name="_Б22112" localSheetId="1">#REF!</definedName>
    <definedName name="_Б22112" localSheetId="3">#REF!</definedName>
    <definedName name="_Б22112">#REF!</definedName>
    <definedName name="_Б22200" localSheetId="1">#REF!</definedName>
    <definedName name="_Б22200" localSheetId="3">#REF!</definedName>
    <definedName name="_Б22200">#REF!</definedName>
    <definedName name="_Б23000" localSheetId="1">#REF!</definedName>
    <definedName name="_Б23000" localSheetId="3">#REF!</definedName>
    <definedName name="_Б23000">#REF!</definedName>
    <definedName name="_Б24000" localSheetId="1">#REF!</definedName>
    <definedName name="_Б24000" localSheetId="3">#REF!</definedName>
    <definedName name="_Б24000">#REF!</definedName>
    <definedName name="_Б25000" localSheetId="1">#REF!</definedName>
    <definedName name="_Б25000" localSheetId="3">#REF!</definedName>
    <definedName name="_Б25000">#REF!</definedName>
    <definedName name="_Б41000" localSheetId="1">#REF!</definedName>
    <definedName name="_Б41000" localSheetId="3">#REF!</definedName>
    <definedName name="_Б41000">#REF!</definedName>
    <definedName name="_Б42000" localSheetId="1">#REF!</definedName>
    <definedName name="_Б42000" localSheetId="3">#REF!</definedName>
    <definedName name="_Б42000">#REF!</definedName>
    <definedName name="_Б43000" localSheetId="1">#REF!</definedName>
    <definedName name="_Б43000" localSheetId="3">#REF!</definedName>
    <definedName name="_Б43000">#REF!</definedName>
    <definedName name="_Б44000" localSheetId="1">#REF!</definedName>
    <definedName name="_Б44000" localSheetId="3">#REF!</definedName>
    <definedName name="_Б44000">#REF!</definedName>
    <definedName name="_Б45000" localSheetId="1">#REF!</definedName>
    <definedName name="_Б45000" localSheetId="3">#REF!</definedName>
    <definedName name="_Б45000">#REF!</definedName>
    <definedName name="_Б46000" localSheetId="1">#REF!</definedName>
    <definedName name="_Б46000" localSheetId="3">#REF!</definedName>
    <definedName name="_Б46000">#REF!</definedName>
    <definedName name="_В010100" localSheetId="1">#REF!</definedName>
    <definedName name="_В010100" localSheetId="3">#REF!</definedName>
    <definedName name="_В010100">#REF!</definedName>
    <definedName name="_В010200" localSheetId="1">#REF!</definedName>
    <definedName name="_В010200" localSheetId="3">#REF!</definedName>
    <definedName name="_В010200">#REF!</definedName>
    <definedName name="_В040000" localSheetId="1">#REF!</definedName>
    <definedName name="_В040000" localSheetId="3">#REF!</definedName>
    <definedName name="_В040000">#REF!</definedName>
    <definedName name="_В050000" localSheetId="1">#REF!</definedName>
    <definedName name="_В050000" localSheetId="3">#REF!</definedName>
    <definedName name="_В050000">#REF!</definedName>
    <definedName name="_В060000" localSheetId="1">#REF!</definedName>
    <definedName name="_В060000" localSheetId="3">#REF!</definedName>
    <definedName name="_В060000">#REF!</definedName>
    <definedName name="_В070000" localSheetId="1">#REF!</definedName>
    <definedName name="_В070000" localSheetId="3">#REF!</definedName>
    <definedName name="_В070000">#REF!</definedName>
    <definedName name="_В080000" localSheetId="1">#REF!</definedName>
    <definedName name="_В080000" localSheetId="3">#REF!</definedName>
    <definedName name="_В080000">#REF!</definedName>
    <definedName name="_В090000" localSheetId="1">#REF!</definedName>
    <definedName name="_В090000" localSheetId="3">#REF!</definedName>
    <definedName name="_В090000">#REF!</definedName>
    <definedName name="_В090200" localSheetId="1">#REF!</definedName>
    <definedName name="_В090200" localSheetId="3">#REF!</definedName>
    <definedName name="_В090200">#REF!</definedName>
    <definedName name="_В090201" localSheetId="1">#REF!</definedName>
    <definedName name="_В090201" localSheetId="3">#REF!</definedName>
    <definedName name="_В090201">#REF!</definedName>
    <definedName name="_В090202" localSheetId="1">#REF!</definedName>
    <definedName name="_В090202" localSheetId="3">#REF!</definedName>
    <definedName name="_В090202">#REF!</definedName>
    <definedName name="_В090203" localSheetId="1">#REF!</definedName>
    <definedName name="_В090203" localSheetId="3">#REF!</definedName>
    <definedName name="_В090203">#REF!</definedName>
    <definedName name="_В090300" localSheetId="1">#REF!</definedName>
    <definedName name="_В090300" localSheetId="3">#REF!</definedName>
    <definedName name="_В090300">#REF!</definedName>
    <definedName name="_В090301" localSheetId="1">#REF!</definedName>
    <definedName name="_В090301" localSheetId="3">#REF!</definedName>
    <definedName name="_В090301">#REF!</definedName>
    <definedName name="_В090302" localSheetId="1">#REF!</definedName>
    <definedName name="_В090302" localSheetId="3">#REF!</definedName>
    <definedName name="_В090302">#REF!</definedName>
    <definedName name="_В090303" localSheetId="1">#REF!</definedName>
    <definedName name="_В090303" localSheetId="3">#REF!</definedName>
    <definedName name="_В090303">#REF!</definedName>
    <definedName name="_В090304" localSheetId="1">#REF!</definedName>
    <definedName name="_В090304" localSheetId="3">#REF!</definedName>
    <definedName name="_В090304">#REF!</definedName>
    <definedName name="_В090305" localSheetId="1">#REF!</definedName>
    <definedName name="_В090305" localSheetId="3">#REF!</definedName>
    <definedName name="_В090305">#REF!</definedName>
    <definedName name="_В090306" localSheetId="1">#REF!</definedName>
    <definedName name="_В090306" localSheetId="3">#REF!</definedName>
    <definedName name="_В090306">#REF!</definedName>
    <definedName name="_В090307" localSheetId="1">#REF!</definedName>
    <definedName name="_В090307" localSheetId="3">#REF!</definedName>
    <definedName name="_В090307">#REF!</definedName>
    <definedName name="_В090400" localSheetId="1">#REF!</definedName>
    <definedName name="_В090400" localSheetId="3">#REF!</definedName>
    <definedName name="_В090400">#REF!</definedName>
    <definedName name="_В090405" localSheetId="1">#REF!</definedName>
    <definedName name="_В090405" localSheetId="3">#REF!</definedName>
    <definedName name="_В090405">#REF!</definedName>
    <definedName name="_В090412" localSheetId="1">#REF!</definedName>
    <definedName name="_В090412" localSheetId="3">#REF!</definedName>
    <definedName name="_В090412">#REF!</definedName>
    <definedName name="_В090601" localSheetId="1">#REF!</definedName>
    <definedName name="_В090601" localSheetId="3">#REF!</definedName>
    <definedName name="_В090601">#REF!</definedName>
    <definedName name="_В090700" localSheetId="1">#REF!</definedName>
    <definedName name="_В090700" localSheetId="3">#REF!</definedName>
    <definedName name="_В090700">#REF!</definedName>
    <definedName name="_В090900" localSheetId="1">#REF!</definedName>
    <definedName name="_В090900" localSheetId="3">#REF!</definedName>
    <definedName name="_В090900">#REF!</definedName>
    <definedName name="_В091100" localSheetId="1">#REF!</definedName>
    <definedName name="_В091100" localSheetId="3">#REF!</definedName>
    <definedName name="_В091100">#REF!</definedName>
    <definedName name="_В091200" localSheetId="1">#REF!</definedName>
    <definedName name="_В091200" localSheetId="3">#REF!</definedName>
    <definedName name="_В091200">#REF!</definedName>
    <definedName name="_В100000" localSheetId="1">#REF!</definedName>
    <definedName name="_В100000" localSheetId="3">#REF!</definedName>
    <definedName name="_В100000">#REF!</definedName>
    <definedName name="_В100100" localSheetId="1">#REF!</definedName>
    <definedName name="_В100100" localSheetId="3">#REF!</definedName>
    <definedName name="_В100100">#REF!</definedName>
    <definedName name="_В100103" localSheetId="1">#REF!</definedName>
    <definedName name="_В100103" localSheetId="3">#REF!</definedName>
    <definedName name="_В100103">#REF!</definedName>
    <definedName name="_В100200" localSheetId="1">#REF!</definedName>
    <definedName name="_В100200" localSheetId="3">#REF!</definedName>
    <definedName name="_В100200">#REF!</definedName>
    <definedName name="_В100203" localSheetId="1">#REF!</definedName>
    <definedName name="_В100203" localSheetId="3">#REF!</definedName>
    <definedName name="_В100203">#REF!</definedName>
    <definedName name="_В100204" localSheetId="1">#REF!</definedName>
    <definedName name="_В100204" localSheetId="3">#REF!</definedName>
    <definedName name="_В100204">#REF!</definedName>
    <definedName name="_В110000" localSheetId="1">#REF!</definedName>
    <definedName name="_В110000" localSheetId="3">#REF!</definedName>
    <definedName name="_В110000">#REF!</definedName>
    <definedName name="_В120000" localSheetId="1">#REF!</definedName>
    <definedName name="_В120000" localSheetId="3">#REF!</definedName>
    <definedName name="_В120000">#REF!</definedName>
    <definedName name="_В130000" localSheetId="1">#REF!</definedName>
    <definedName name="_В130000" localSheetId="3">#REF!</definedName>
    <definedName name="_В130000">#REF!</definedName>
    <definedName name="_В140000" localSheetId="1">#REF!</definedName>
    <definedName name="_В140000" localSheetId="3">#REF!</definedName>
    <definedName name="_В140000">#REF!</definedName>
    <definedName name="_В140102" localSheetId="1">#REF!</definedName>
    <definedName name="_В140102" localSheetId="3">#REF!</definedName>
    <definedName name="_В140102">#REF!</definedName>
    <definedName name="_В150000" localSheetId="1">#REF!</definedName>
    <definedName name="_В150000" localSheetId="3">#REF!</definedName>
    <definedName name="_В150000">#REF!</definedName>
    <definedName name="_В150101" localSheetId="1">#REF!</definedName>
    <definedName name="_В150101" localSheetId="3">#REF!</definedName>
    <definedName name="_В150101">#REF!</definedName>
    <definedName name="_В160000" localSheetId="1">#REF!</definedName>
    <definedName name="_В160000" localSheetId="3">#REF!</definedName>
    <definedName name="_В160000">#REF!</definedName>
    <definedName name="_В160100" localSheetId="1">#REF!</definedName>
    <definedName name="_В160100" localSheetId="3">#REF!</definedName>
    <definedName name="_В160100">#REF!</definedName>
    <definedName name="_В160103" localSheetId="1">#REF!</definedName>
    <definedName name="_В160103" localSheetId="3">#REF!</definedName>
    <definedName name="_В160103">#REF!</definedName>
    <definedName name="_В160200" localSheetId="1">#REF!</definedName>
    <definedName name="_В160200" localSheetId="3">#REF!</definedName>
    <definedName name="_В160200">#REF!</definedName>
    <definedName name="_В160300" localSheetId="1">#REF!</definedName>
    <definedName name="_В160300" localSheetId="3">#REF!</definedName>
    <definedName name="_В160300">#REF!</definedName>
    <definedName name="_В160304" localSheetId="1">#REF!</definedName>
    <definedName name="_В160304" localSheetId="3">#REF!</definedName>
    <definedName name="_В160304">#REF!</definedName>
    <definedName name="_В170000" localSheetId="1">#REF!</definedName>
    <definedName name="_В170000" localSheetId="3">#REF!</definedName>
    <definedName name="_В170000">#REF!</definedName>
    <definedName name="_В170100" localSheetId="1">#REF!</definedName>
    <definedName name="_В170100" localSheetId="3">#REF!</definedName>
    <definedName name="_В170100">#REF!</definedName>
    <definedName name="_В170101" localSheetId="1">#REF!</definedName>
    <definedName name="_В170101" localSheetId="3">#REF!</definedName>
    <definedName name="_В170101">#REF!</definedName>
    <definedName name="_В170300" localSheetId="1">#REF!</definedName>
    <definedName name="_В170300" localSheetId="3">#REF!</definedName>
    <definedName name="_В170300">#REF!</definedName>
    <definedName name="_В170303" localSheetId="1">#REF!</definedName>
    <definedName name="_В170303" localSheetId="3">#REF!</definedName>
    <definedName name="_В170303">#REF!</definedName>
    <definedName name="_В170600" localSheetId="1">#REF!</definedName>
    <definedName name="_В170600" localSheetId="3">#REF!</definedName>
    <definedName name="_В170600">#REF!</definedName>
    <definedName name="_В170601" localSheetId="1">#REF!</definedName>
    <definedName name="_В170601" localSheetId="3">#REF!</definedName>
    <definedName name="_В170601">#REF!</definedName>
    <definedName name="_В170700" localSheetId="1">#REF!</definedName>
    <definedName name="_В170700" localSheetId="3">#REF!</definedName>
    <definedName name="_В170700">#REF!</definedName>
    <definedName name="_В170703" localSheetId="1">#REF!</definedName>
    <definedName name="_В170703" localSheetId="3">#REF!</definedName>
    <definedName name="_В170703">#REF!</definedName>
    <definedName name="_В200000" localSheetId="1">#REF!</definedName>
    <definedName name="_В200000" localSheetId="3">#REF!</definedName>
    <definedName name="_В200000">#REF!</definedName>
    <definedName name="_В210000" localSheetId="1">#REF!</definedName>
    <definedName name="_В210000" localSheetId="3">#REF!</definedName>
    <definedName name="_В210000">#REF!</definedName>
    <definedName name="_В210200" localSheetId="1">#REF!</definedName>
    <definedName name="_В210200" localSheetId="3">#REF!</definedName>
    <definedName name="_В210200">#REF!</definedName>
    <definedName name="_В240000" localSheetId="1">#REF!</definedName>
    <definedName name="_В240000" localSheetId="3">#REF!</definedName>
    <definedName name="_В240000">#REF!</definedName>
    <definedName name="_В240600" localSheetId="1">#REF!</definedName>
    <definedName name="_В240600" localSheetId="3">#REF!</definedName>
    <definedName name="_В240600">#REF!</definedName>
    <definedName name="_В250000" localSheetId="1">#REF!</definedName>
    <definedName name="_В250000" localSheetId="3">#REF!</definedName>
    <definedName name="_В250000">#REF!</definedName>
    <definedName name="_В250102" localSheetId="1">#REF!</definedName>
    <definedName name="_В250102" localSheetId="3">#REF!</definedName>
    <definedName name="_В250102">#REF!</definedName>
    <definedName name="_В250200" localSheetId="1">#REF!</definedName>
    <definedName name="_В250200" localSheetId="3">#REF!</definedName>
    <definedName name="_В250200">#REF!</definedName>
    <definedName name="_В250301" localSheetId="1">#REF!</definedName>
    <definedName name="_В250301" localSheetId="3">#REF!</definedName>
    <definedName name="_В250301">#REF!</definedName>
    <definedName name="_В250307" localSheetId="1">#REF!</definedName>
    <definedName name="_В250307" localSheetId="3">#REF!</definedName>
    <definedName name="_В250307">#REF!</definedName>
    <definedName name="_В250500" localSheetId="1">#REF!</definedName>
    <definedName name="_В250500" localSheetId="3">#REF!</definedName>
    <definedName name="_В250500">#REF!</definedName>
    <definedName name="_В250501" localSheetId="1">#REF!</definedName>
    <definedName name="_В250501" localSheetId="3">#REF!</definedName>
    <definedName name="_В250501">#REF!</definedName>
    <definedName name="_В250502" localSheetId="1">#REF!</definedName>
    <definedName name="_В250502" localSheetId="3">#REF!</definedName>
    <definedName name="_В250502">#REF!</definedName>
    <definedName name="_Д100000" localSheetId="1">#REF!</definedName>
    <definedName name="_Д100000" localSheetId="3">#REF!</definedName>
    <definedName name="_Д100000">#REF!</definedName>
    <definedName name="_Д110000" localSheetId="1">#REF!</definedName>
    <definedName name="_Д110000" localSheetId="3">#REF!</definedName>
    <definedName name="_Д110000">#REF!</definedName>
    <definedName name="_Д110100" localSheetId="1">#REF!</definedName>
    <definedName name="_Д110100" localSheetId="3">#REF!</definedName>
    <definedName name="_Д110100">#REF!</definedName>
    <definedName name="_Д110200" localSheetId="1">#REF!</definedName>
    <definedName name="_Д110200" localSheetId="3">#REF!</definedName>
    <definedName name="_Д110200">#REF!</definedName>
    <definedName name="_Д120000" localSheetId="1">#REF!</definedName>
    <definedName name="_Д120000" localSheetId="3">#REF!</definedName>
    <definedName name="_Д120000">#REF!</definedName>
    <definedName name="_Д120200" localSheetId="1">#REF!</definedName>
    <definedName name="_Д120200" localSheetId="3">#REF!</definedName>
    <definedName name="_Д120200">#REF!</definedName>
    <definedName name="_Д130000" localSheetId="1">#REF!</definedName>
    <definedName name="_Д130000" localSheetId="3">#REF!</definedName>
    <definedName name="_Д130000">#REF!</definedName>
    <definedName name="_Д130100" localSheetId="1">#REF!</definedName>
    <definedName name="_Д130100" localSheetId="3">#REF!</definedName>
    <definedName name="_Д130100">#REF!</definedName>
    <definedName name="_Д130200" localSheetId="1">#REF!</definedName>
    <definedName name="_Д130200" localSheetId="3">#REF!</definedName>
    <definedName name="_Д130200">#REF!</definedName>
    <definedName name="_Д130300" localSheetId="1">#REF!</definedName>
    <definedName name="_Д130300" localSheetId="3">#REF!</definedName>
    <definedName name="_Д130300">#REF!</definedName>
    <definedName name="_Д130500" localSheetId="1">#REF!</definedName>
    <definedName name="_Д130500" localSheetId="3">#REF!</definedName>
    <definedName name="_Д130500">#REF!</definedName>
    <definedName name="_Д140000" localSheetId="1">#REF!</definedName>
    <definedName name="_Д140000" localSheetId="3">#REF!</definedName>
    <definedName name="_Д140000">#REF!</definedName>
    <definedName name="_Д140601" localSheetId="1">#REF!</definedName>
    <definedName name="_Д140601" localSheetId="3">#REF!</definedName>
    <definedName name="_Д140601">#REF!</definedName>
    <definedName name="_Д140602" localSheetId="1">#REF!</definedName>
    <definedName name="_Д140602" localSheetId="3">#REF!</definedName>
    <definedName name="_Д140602">#REF!</definedName>
    <definedName name="_Д140603" localSheetId="1">#REF!</definedName>
    <definedName name="_Д140603" localSheetId="3">#REF!</definedName>
    <definedName name="_Д140603">#REF!</definedName>
    <definedName name="_Д140700" localSheetId="1">#REF!</definedName>
    <definedName name="_Д140700" localSheetId="3">#REF!</definedName>
    <definedName name="_Д140700">#REF!</definedName>
    <definedName name="_Д160000" localSheetId="1">#REF!</definedName>
    <definedName name="_Д160000" localSheetId="3">#REF!</definedName>
    <definedName name="_Д160000">#REF!</definedName>
    <definedName name="_Д160100" localSheetId="1">#REF!</definedName>
    <definedName name="_Д160100" localSheetId="3">#REF!</definedName>
    <definedName name="_Д160100">#REF!</definedName>
    <definedName name="_Д160200" localSheetId="1">#REF!</definedName>
    <definedName name="_Д160200" localSheetId="3">#REF!</definedName>
    <definedName name="_Д160200">#REF!</definedName>
    <definedName name="_Д160300" localSheetId="1">#REF!</definedName>
    <definedName name="_Д160300" localSheetId="3">#REF!</definedName>
    <definedName name="_Д160300">#REF!</definedName>
    <definedName name="_Д200000" localSheetId="1">#REF!</definedName>
    <definedName name="_Д200000" localSheetId="3">#REF!</definedName>
    <definedName name="_Д200000">#REF!</definedName>
    <definedName name="_Д210000" localSheetId="1">#REF!</definedName>
    <definedName name="_Д210000" localSheetId="3">#REF!</definedName>
    <definedName name="_Д210000">#REF!</definedName>
    <definedName name="_Д210700" localSheetId="1">#REF!</definedName>
    <definedName name="_Д210700" localSheetId="3">#REF!</definedName>
    <definedName name="_Д210700">#REF!</definedName>
    <definedName name="_Д220000" localSheetId="1">#REF!</definedName>
    <definedName name="_Д220000" localSheetId="3">#REF!</definedName>
    <definedName name="_Д220000">#REF!</definedName>
    <definedName name="_Д220800" localSheetId="1">#REF!</definedName>
    <definedName name="_Д220800" localSheetId="3">#REF!</definedName>
    <definedName name="_Д220800">#REF!</definedName>
    <definedName name="_Д220900" localSheetId="1">#REF!</definedName>
    <definedName name="_Д220900" localSheetId="3">#REF!</definedName>
    <definedName name="_Д220900">#REF!</definedName>
    <definedName name="_Д230000" localSheetId="1">#REF!</definedName>
    <definedName name="_Д230000" localSheetId="3">#REF!</definedName>
    <definedName name="_Д230000">#REF!</definedName>
    <definedName name="_Д240000" localSheetId="1">#REF!</definedName>
    <definedName name="_Д240000" localSheetId="3">#REF!</definedName>
    <definedName name="_Д240000">#REF!</definedName>
    <definedName name="_Д240800" localSheetId="1">#REF!</definedName>
    <definedName name="_Д240800" localSheetId="3">#REF!</definedName>
    <definedName name="_Д240800">#REF!</definedName>
    <definedName name="_Д400000" localSheetId="1">#REF!</definedName>
    <definedName name="_Д400000" localSheetId="3">#REF!</definedName>
    <definedName name="_Д400000">#REF!</definedName>
    <definedName name="_Д410100" localSheetId="1">#REF!</definedName>
    <definedName name="_Д410100" localSheetId="3">#REF!</definedName>
    <definedName name="_Д410100">#REF!</definedName>
    <definedName name="_Д410400" localSheetId="1">#REF!</definedName>
    <definedName name="_Д410400" localSheetId="3">#REF!</definedName>
    <definedName name="_Д410400">#REF!</definedName>
    <definedName name="_Д500000" localSheetId="1">#REF!</definedName>
    <definedName name="_Д500000" localSheetId="3">#REF!</definedName>
    <definedName name="_Д500000">#REF!</definedName>
    <definedName name="_Д500800" localSheetId="1">#REF!</definedName>
    <definedName name="_Д500800" localSheetId="3">#REF!</definedName>
    <definedName name="_Д500800">#REF!</definedName>
    <definedName name="_Д500900" localSheetId="1">#REF!</definedName>
    <definedName name="_Д500900" localSheetId="3">#REF!</definedName>
    <definedName name="_Д500900">#REF!</definedName>
    <definedName name="_Е1000" localSheetId="1">#REF!</definedName>
    <definedName name="_Е1000" localSheetId="3">#REF!</definedName>
    <definedName name="_Е1000">#REF!</definedName>
    <definedName name="_Е1100" localSheetId="1">#REF!</definedName>
    <definedName name="_Е1100" localSheetId="3">#REF!</definedName>
    <definedName name="_Е1100">#REF!</definedName>
    <definedName name="_Е1110" localSheetId="1">#REF!</definedName>
    <definedName name="_Е1110" localSheetId="3">#REF!</definedName>
    <definedName name="_Е1110">#REF!</definedName>
    <definedName name="_Е1120" localSheetId="1">#REF!</definedName>
    <definedName name="_Е1120" localSheetId="3">#REF!</definedName>
    <definedName name="_Е1120">#REF!</definedName>
    <definedName name="_Е1130" localSheetId="1">#REF!</definedName>
    <definedName name="_Е1130" localSheetId="3">#REF!</definedName>
    <definedName name="_Е1130">#REF!</definedName>
    <definedName name="_Е1140" localSheetId="1">#REF!</definedName>
    <definedName name="_Е1140" localSheetId="3">#REF!</definedName>
    <definedName name="_Е1140">#REF!</definedName>
    <definedName name="_Е1150" localSheetId="1">#REF!</definedName>
    <definedName name="_Е1150" localSheetId="3">#REF!</definedName>
    <definedName name="_Е1150">#REF!</definedName>
    <definedName name="_Е1160" localSheetId="1">#REF!</definedName>
    <definedName name="_Е1160" localSheetId="3">#REF!</definedName>
    <definedName name="_Е1160">#REF!</definedName>
    <definedName name="_Е1161" localSheetId="1">#REF!</definedName>
    <definedName name="_Е1161" localSheetId="3">#REF!</definedName>
    <definedName name="_Е1161">#REF!</definedName>
    <definedName name="_Е1162" localSheetId="1">#REF!</definedName>
    <definedName name="_Е1162" localSheetId="3">#REF!</definedName>
    <definedName name="_Е1162">#REF!</definedName>
    <definedName name="_Е1163" localSheetId="1">#REF!</definedName>
    <definedName name="_Е1163" localSheetId="3">#REF!</definedName>
    <definedName name="_Е1163">#REF!</definedName>
    <definedName name="_Е1164" localSheetId="1">#REF!</definedName>
    <definedName name="_Е1164" localSheetId="3">#REF!</definedName>
    <definedName name="_Е1164">#REF!</definedName>
    <definedName name="_Е1170" localSheetId="1">#REF!</definedName>
    <definedName name="_Е1170" localSheetId="3">#REF!</definedName>
    <definedName name="_Е1170">#REF!</definedName>
    <definedName name="_Е1200" localSheetId="1">#REF!</definedName>
    <definedName name="_Е1200" localSheetId="3">#REF!</definedName>
    <definedName name="_Е1200">#REF!</definedName>
    <definedName name="_Е1300" localSheetId="1">#REF!</definedName>
    <definedName name="_Е1300" localSheetId="3">#REF!</definedName>
    <definedName name="_Е1300">#REF!</definedName>
    <definedName name="_Е1340" localSheetId="1">#REF!</definedName>
    <definedName name="_Е1340" localSheetId="3">#REF!</definedName>
    <definedName name="_Е1340">#REF!</definedName>
    <definedName name="_Е2000" localSheetId="1">#REF!</definedName>
    <definedName name="_Е2000" localSheetId="3">#REF!</definedName>
    <definedName name="_Е2000">#REF!</definedName>
    <definedName name="_Е2100" localSheetId="1">#REF!</definedName>
    <definedName name="_Е2100" localSheetId="3">#REF!</definedName>
    <definedName name="_Е2100">#REF!</definedName>
    <definedName name="_Е2110" localSheetId="1">#REF!</definedName>
    <definedName name="_Е2110" localSheetId="3">#REF!</definedName>
    <definedName name="_Е2110">#REF!</definedName>
    <definedName name="_Е2120" localSheetId="1">#REF!</definedName>
    <definedName name="_Е2120" localSheetId="3">#REF!</definedName>
    <definedName name="_Е2120">#REF!</definedName>
    <definedName name="_Е2130" localSheetId="1">#REF!</definedName>
    <definedName name="_Е2130" localSheetId="3">#REF!</definedName>
    <definedName name="_Е2130">#REF!</definedName>
    <definedName name="_Е2200" localSheetId="1">#REF!</definedName>
    <definedName name="_Е2200" localSheetId="3">#REF!</definedName>
    <definedName name="_Е2200">#REF!</definedName>
    <definedName name="_Е2300" localSheetId="1">#REF!</definedName>
    <definedName name="_Е2300" localSheetId="3">#REF!</definedName>
    <definedName name="_Е2300">#REF!</definedName>
    <definedName name="_Е3000" localSheetId="1">#REF!</definedName>
    <definedName name="_Е3000" localSheetId="3">#REF!</definedName>
    <definedName name="_Е3000">#REF!</definedName>
    <definedName name="_Е4000" localSheetId="1">#REF!</definedName>
    <definedName name="_Е4000" localSheetId="3">#REF!</definedName>
    <definedName name="_Е4000">#REF!</definedName>
    <definedName name="_ІБ900501" localSheetId="1">#REF!</definedName>
    <definedName name="_ІБ900501" localSheetId="3">#REF!</definedName>
    <definedName name="_ІБ900501">#REF!</definedName>
    <definedName name="_ІБ900502" localSheetId="1">#REF!</definedName>
    <definedName name="_ІБ900502" localSheetId="3">#REF!</definedName>
    <definedName name="_ІБ900502">#REF!</definedName>
    <definedName name="_ІВ900201" localSheetId="1">#REF!</definedName>
    <definedName name="_ІВ900201" localSheetId="3">#REF!</definedName>
    <definedName name="_ІВ900201">#REF!</definedName>
    <definedName name="_ІВ900202" localSheetId="1">#REF!</definedName>
    <definedName name="_ІВ900202" localSheetId="3">#REF!</definedName>
    <definedName name="_ІВ900202">#REF!</definedName>
    <definedName name="_ІД900101" localSheetId="1">#REF!</definedName>
    <definedName name="_ІД900101" localSheetId="3">#REF!</definedName>
    <definedName name="_ІД900101">#REF!</definedName>
    <definedName name="_ІД900102" localSheetId="1">#REF!</definedName>
    <definedName name="_ІД900102" localSheetId="3">#REF!</definedName>
    <definedName name="_ІД900102">#REF!</definedName>
    <definedName name="_ІЕ900203" localSheetId="1">#REF!</definedName>
    <definedName name="_ІЕ900203" localSheetId="3">#REF!</definedName>
    <definedName name="_ІЕ900203">#REF!</definedName>
    <definedName name="_ІЕ900300" localSheetId="1">#REF!</definedName>
    <definedName name="_ІЕ900300" localSheetId="3">#REF!</definedName>
    <definedName name="_ІЕ900300">#REF!</definedName>
    <definedName name="_ІФ900400" localSheetId="1">#REF!</definedName>
    <definedName name="_ІФ900400" localSheetId="3">#REF!</definedName>
    <definedName name="_ІФ900400">#REF!</definedName>
    <definedName name="_Ф100000" localSheetId="1">#REF!</definedName>
    <definedName name="_Ф100000" localSheetId="3">#REF!</definedName>
    <definedName name="_Ф100000">#REF!</definedName>
    <definedName name="_Ф101000" localSheetId="1">#REF!</definedName>
    <definedName name="_Ф101000" localSheetId="3">#REF!</definedName>
    <definedName name="_Ф101000">#REF!</definedName>
    <definedName name="_Ф102000" localSheetId="1">#REF!</definedName>
    <definedName name="_Ф102000" localSheetId="3">#REF!</definedName>
    <definedName name="_Ф102000">#REF!</definedName>
    <definedName name="_Ф201000" localSheetId="1">#REF!</definedName>
    <definedName name="_Ф201000" localSheetId="3">#REF!</definedName>
    <definedName name="_Ф201000">#REF!</definedName>
    <definedName name="_Ф201010" localSheetId="1">#REF!</definedName>
    <definedName name="_Ф201010" localSheetId="3">#REF!</definedName>
    <definedName name="_Ф201010">#REF!</definedName>
    <definedName name="_Ф201011" localSheetId="1">#REF!</definedName>
    <definedName name="_Ф201011" localSheetId="3">#REF!</definedName>
    <definedName name="_Ф201011">#REF!</definedName>
    <definedName name="_Ф201012" localSheetId="1">#REF!</definedName>
    <definedName name="_Ф201012" localSheetId="3">#REF!</definedName>
    <definedName name="_Ф201012">#REF!</definedName>
    <definedName name="_Ф201020" localSheetId="1">#REF!</definedName>
    <definedName name="_Ф201020" localSheetId="3">#REF!</definedName>
    <definedName name="_Ф201020">#REF!</definedName>
    <definedName name="_Ф201021" localSheetId="1">#REF!</definedName>
    <definedName name="_Ф201021" localSheetId="3">#REF!</definedName>
    <definedName name="_Ф201021">#REF!</definedName>
    <definedName name="_Ф201022" localSheetId="1">#REF!</definedName>
    <definedName name="_Ф201022" localSheetId="3">#REF!</definedName>
    <definedName name="_Ф201022">#REF!</definedName>
    <definedName name="_Ф201030" localSheetId="1">#REF!</definedName>
    <definedName name="_Ф201030" localSheetId="3">#REF!</definedName>
    <definedName name="_Ф201030">#REF!</definedName>
    <definedName name="_Ф201031" localSheetId="1">#REF!</definedName>
    <definedName name="_Ф201031" localSheetId="3">#REF!</definedName>
    <definedName name="_Ф201031">#REF!</definedName>
    <definedName name="_Ф201032" localSheetId="1">#REF!</definedName>
    <definedName name="_Ф201032" localSheetId="3">#REF!</definedName>
    <definedName name="_Ф201032">#REF!</definedName>
    <definedName name="_Ф202000" localSheetId="1">#REF!</definedName>
    <definedName name="_Ф202000" localSheetId="3">#REF!</definedName>
    <definedName name="_Ф202000">#REF!</definedName>
    <definedName name="_Ф202010" localSheetId="1">#REF!</definedName>
    <definedName name="_Ф202010" localSheetId="3">#REF!</definedName>
    <definedName name="_Ф202010">#REF!</definedName>
    <definedName name="_Ф202011" localSheetId="1">#REF!</definedName>
    <definedName name="_Ф202011" localSheetId="3">#REF!</definedName>
    <definedName name="_Ф202011">#REF!</definedName>
    <definedName name="_Ф202012" localSheetId="1">#REF!</definedName>
    <definedName name="_Ф202012" localSheetId="3">#REF!</definedName>
    <definedName name="_Ф202012">#REF!</definedName>
    <definedName name="_Ф203000" localSheetId="1">#REF!</definedName>
    <definedName name="_Ф203000" localSheetId="3">#REF!</definedName>
    <definedName name="_Ф203000">#REF!</definedName>
    <definedName name="_Ф203010" localSheetId="1">#REF!</definedName>
    <definedName name="_Ф203010" localSheetId="3">#REF!</definedName>
    <definedName name="_Ф203010">#REF!</definedName>
    <definedName name="_Ф203011" localSheetId="1">#REF!</definedName>
    <definedName name="_Ф203011" localSheetId="3">#REF!</definedName>
    <definedName name="_Ф203011">#REF!</definedName>
    <definedName name="_Ф203012" localSheetId="1">#REF!</definedName>
    <definedName name="_Ф203012" localSheetId="3">#REF!</definedName>
    <definedName name="_Ф203012">#REF!</definedName>
    <definedName name="_Ф204000" localSheetId="1">#REF!</definedName>
    <definedName name="_Ф204000" localSheetId="3">#REF!</definedName>
    <definedName name="_Ф204000">#REF!</definedName>
    <definedName name="_Ф205000" localSheetId="1">#REF!</definedName>
    <definedName name="_Ф205000" localSheetId="3">#REF!</definedName>
    <definedName name="_Ф205000">#REF!</definedName>
    <definedName name="_Ф206000" localSheetId="1">#REF!</definedName>
    <definedName name="_Ф206000" localSheetId="3">#REF!</definedName>
    <definedName name="_Ф206000">#REF!</definedName>
    <definedName name="_Ф206001" localSheetId="1">#REF!</definedName>
    <definedName name="_Ф206001" localSheetId="3">#REF!</definedName>
    <definedName name="_Ф206001">#REF!</definedName>
    <definedName name="_Ф206002" localSheetId="1">#REF!</definedName>
    <definedName name="_Ф206002" localSheetId="3">#REF!</definedName>
    <definedName name="_Ф206002">#REF!</definedName>
    <definedName name="_xlnm._FilterDatabase" localSheetId="3" hidden="1">'Додаток 4'!$K$12:$K$15</definedName>
    <definedName name="В68" localSheetId="1">#REF!</definedName>
    <definedName name="В68" localSheetId="3">#REF!</definedName>
    <definedName name="В68">#REF!</definedName>
    <definedName name="вс" localSheetId="1">#REF!</definedName>
    <definedName name="вс" localSheetId="3">#REF!</definedName>
    <definedName name="вс">#REF!</definedName>
    <definedName name="_xlnm.Print_Titles" localSheetId="0">'Додаток 1'!$9:$12</definedName>
    <definedName name="_xlnm.Print_Titles" localSheetId="2">'Додаток 3'!$9:$13</definedName>
    <definedName name="_xlnm.Print_Titles" localSheetId="3">'Додаток 4'!$10:$10</definedName>
    <definedName name="_xlnm.Print_Titles" localSheetId="5">'Додаток 6'!$10:$12</definedName>
    <definedName name="_xlnm.Print_Area" localSheetId="0">'Додаток 1'!$A$1:$F$124</definedName>
    <definedName name="_xlnm.Print_Area" localSheetId="3">'Додаток 4'!$A$1:$J$39</definedName>
  </definedNames>
  <calcPr calcId="191029" fullCalcOnLoad="1"/>
</workbook>
</file>

<file path=xl/calcChain.xml><?xml version="1.0" encoding="utf-8"?>
<calcChain xmlns="http://schemas.openxmlformats.org/spreadsheetml/2006/main">
  <c r="D71" i="2" l="1"/>
  <c r="D47" i="2"/>
  <c r="D44" i="2"/>
  <c r="D40" i="2"/>
  <c r="D39" i="2"/>
  <c r="D30" i="2"/>
  <c r="D18" i="2"/>
  <c r="D16" i="2"/>
  <c r="D24" i="6"/>
  <c r="I48" i="5"/>
  <c r="K48" i="1"/>
  <c r="D17" i="2"/>
  <c r="D70" i="2"/>
  <c r="D46" i="2"/>
  <c r="D43" i="2"/>
  <c r="D42" i="2"/>
  <c r="D32" i="2"/>
  <c r="D22" i="2"/>
  <c r="H58" i="5"/>
  <c r="I46" i="5"/>
  <c r="H46" i="5"/>
  <c r="I17" i="5"/>
  <c r="H17" i="5"/>
  <c r="F55" i="1"/>
  <c r="K47" i="1"/>
  <c r="F47" i="1"/>
  <c r="K19" i="1"/>
  <c r="F19" i="1"/>
  <c r="J71" i="5"/>
  <c r="G71" i="5"/>
  <c r="H48" i="5"/>
  <c r="I37" i="5"/>
  <c r="H25" i="5"/>
  <c r="I19" i="5"/>
  <c r="F48" i="1"/>
  <c r="K75" i="1"/>
  <c r="K73" i="1"/>
  <c r="F73" i="1"/>
  <c r="F60" i="1"/>
  <c r="F59" i="1"/>
  <c r="F54" i="1"/>
  <c r="K38" i="1"/>
  <c r="K39" i="1"/>
  <c r="F36" i="1"/>
  <c r="I35" i="1"/>
  <c r="O30" i="1"/>
  <c r="F27" i="1"/>
  <c r="K21" i="1"/>
  <c r="F21" i="1"/>
  <c r="I15" i="7"/>
  <c r="E117" i="2"/>
  <c r="D36" i="4"/>
  <c r="I32" i="5"/>
  <c r="K35" i="1"/>
  <c r="K34" i="1"/>
  <c r="D26" i="4"/>
  <c r="D117" i="2"/>
  <c r="J29" i="5"/>
  <c r="H30" i="1"/>
  <c r="F30" i="1"/>
  <c r="D19" i="4"/>
  <c r="D112" i="2"/>
  <c r="K60" i="1"/>
  <c r="F40" i="1"/>
  <c r="H44" i="5"/>
  <c r="G43" i="5"/>
  <c r="I42" i="5"/>
  <c r="D83" i="2"/>
  <c r="C71" i="2"/>
  <c r="D55" i="2"/>
  <c r="D45" i="2"/>
  <c r="D34" i="2"/>
  <c r="D19" i="2"/>
  <c r="E22" i="6"/>
  <c r="K32" i="1"/>
  <c r="F83" i="1"/>
  <c r="G75" i="1"/>
  <c r="F75" i="1"/>
  <c r="G74" i="1"/>
  <c r="F74" i="1"/>
  <c r="G64" i="1"/>
  <c r="F64" i="1"/>
  <c r="G62" i="1"/>
  <c r="F62" i="1"/>
  <c r="F57" i="1" s="1"/>
  <c r="G60" i="1"/>
  <c r="G59" i="1"/>
  <c r="G58" i="1"/>
  <c r="F58" i="1"/>
  <c r="F46" i="1"/>
  <c r="J45" i="1"/>
  <c r="E45" i="1"/>
  <c r="P45" i="1"/>
  <c r="K43" i="1"/>
  <c r="K40" i="1"/>
  <c r="K37" i="1"/>
  <c r="G30" i="1"/>
  <c r="K16" i="1"/>
  <c r="F16" i="1"/>
  <c r="D79" i="2"/>
  <c r="C79" i="2"/>
  <c r="D53" i="2"/>
  <c r="C53" i="2" s="1"/>
  <c r="C43" i="2"/>
  <c r="D29" i="2"/>
  <c r="O40" i="1"/>
  <c r="J40" i="1"/>
  <c r="O37" i="1"/>
  <c r="J37" i="1"/>
  <c r="D69" i="2"/>
  <c r="D66" i="2" s="1"/>
  <c r="C69" i="2"/>
  <c r="D67" i="2"/>
  <c r="C67" i="2"/>
  <c r="D88" i="2"/>
  <c r="D81" i="2"/>
  <c r="D75" i="2"/>
  <c r="C75" i="2"/>
  <c r="C70" i="2"/>
  <c r="D65" i="2"/>
  <c r="D54" i="2"/>
  <c r="E102" i="2"/>
  <c r="C102" i="2" s="1"/>
  <c r="E103" i="2"/>
  <c r="F103" i="2"/>
  <c r="C89" i="2"/>
  <c r="E59" i="2"/>
  <c r="E58" i="2" s="1"/>
  <c r="G77" i="5"/>
  <c r="H75" i="5"/>
  <c r="J73" i="5"/>
  <c r="G73" i="5"/>
  <c r="J69" i="5"/>
  <c r="J67" i="5"/>
  <c r="J68" i="5"/>
  <c r="J79" i="5"/>
  <c r="J80" i="5"/>
  <c r="J81" i="5"/>
  <c r="J82" i="5"/>
  <c r="G69" i="5"/>
  <c r="I67" i="5"/>
  <c r="I66" i="5"/>
  <c r="J66" i="5" s="1"/>
  <c r="J65" i="5" s="1"/>
  <c r="J64" i="5" s="1"/>
  <c r="G60" i="5"/>
  <c r="G62" i="5"/>
  <c r="G61" i="5"/>
  <c r="H51" i="5"/>
  <c r="G51" i="5" s="1"/>
  <c r="G52" i="5"/>
  <c r="G49" i="5"/>
  <c r="G31" i="5"/>
  <c r="J30" i="5"/>
  <c r="E30" i="1"/>
  <c r="P30" i="1" s="1"/>
  <c r="J30" i="1"/>
  <c r="E60" i="2"/>
  <c r="E87" i="2"/>
  <c r="E86" i="2"/>
  <c r="G13" i="7"/>
  <c r="G12" i="7" s="1"/>
  <c r="G38" i="7" s="1"/>
  <c r="G32" i="7"/>
  <c r="G31" i="7"/>
  <c r="H13" i="7"/>
  <c r="H12" i="7"/>
  <c r="H38" i="7" s="1"/>
  <c r="H32" i="7"/>
  <c r="H31" i="7"/>
  <c r="F82" i="1"/>
  <c r="F78" i="1"/>
  <c r="O73" i="1"/>
  <c r="O66" i="1"/>
  <c r="J66" i="1" s="1"/>
  <c r="F66" i="1"/>
  <c r="O60" i="1"/>
  <c r="J60" i="1"/>
  <c r="P60" i="1" s="1"/>
  <c r="K59" i="1"/>
  <c r="O59" i="1" s="1"/>
  <c r="E49" i="1"/>
  <c r="J49" i="1"/>
  <c r="P49" i="1"/>
  <c r="F50" i="1"/>
  <c r="E50" i="1" s="1"/>
  <c r="P50" i="1" s="1"/>
  <c r="O48" i="1"/>
  <c r="J48" i="1"/>
  <c r="E48" i="1"/>
  <c r="P48" i="1" s="1"/>
  <c r="K15" i="1"/>
  <c r="K14" i="1" s="1"/>
  <c r="E36" i="1"/>
  <c r="O33" i="1"/>
  <c r="O19" i="1"/>
  <c r="E16" i="1"/>
  <c r="P16" i="1" s="1"/>
  <c r="O16" i="1"/>
  <c r="J16" i="1" s="1"/>
  <c r="D55" i="4"/>
  <c r="D28" i="4"/>
  <c r="D30" i="4"/>
  <c r="D38" i="4" s="1"/>
  <c r="D25" i="4"/>
  <c r="D24" i="4"/>
  <c r="O55" i="1"/>
  <c r="J55" i="1" s="1"/>
  <c r="P55" i="1" s="1"/>
  <c r="E55" i="1"/>
  <c r="C16" i="2"/>
  <c r="I24" i="7"/>
  <c r="I32" i="7"/>
  <c r="I31" i="7" s="1"/>
  <c r="J53" i="5"/>
  <c r="G68" i="5"/>
  <c r="G53" i="5"/>
  <c r="J38" i="5"/>
  <c r="G37" i="5"/>
  <c r="I34" i="5"/>
  <c r="I14" i="5" s="1"/>
  <c r="I13" i="5" s="1"/>
  <c r="H18" i="5"/>
  <c r="C83" i="2"/>
  <c r="D76" i="2"/>
  <c r="C76" i="2" s="1"/>
  <c r="D74" i="2"/>
  <c r="C74" i="2"/>
  <c r="C45" i="2"/>
  <c r="C44" i="2"/>
  <c r="D41" i="2"/>
  <c r="D38" i="2"/>
  <c r="D37" i="2" s="1"/>
  <c r="D31" i="2"/>
  <c r="C31" i="2"/>
  <c r="J91" i="1"/>
  <c r="J90" i="1" s="1"/>
  <c r="J89" i="1" s="1"/>
  <c r="O91" i="1"/>
  <c r="O90" i="1" s="1"/>
  <c r="O89" i="1" s="1"/>
  <c r="K90" i="1"/>
  <c r="K89" i="1"/>
  <c r="F91" i="1"/>
  <c r="E91" i="1" s="1"/>
  <c r="O82" i="1"/>
  <c r="H75" i="1"/>
  <c r="E74" i="1"/>
  <c r="H64" i="1"/>
  <c r="F63" i="1"/>
  <c r="O52" i="1"/>
  <c r="J52" i="1" s="1"/>
  <c r="E52" i="1"/>
  <c r="O39" i="1"/>
  <c r="J39" i="1"/>
  <c r="E39" i="1"/>
  <c r="P39" i="1"/>
  <c r="L36" i="1"/>
  <c r="J36" i="1" s="1"/>
  <c r="P36" i="1" s="1"/>
  <c r="F35" i="1"/>
  <c r="E35" i="1"/>
  <c r="P35" i="1" s="1"/>
  <c r="O35" i="1"/>
  <c r="J35" i="1" s="1"/>
  <c r="F20" i="1"/>
  <c r="I17" i="7"/>
  <c r="I13" i="7" s="1"/>
  <c r="I12" i="7" s="1"/>
  <c r="D56" i="4"/>
  <c r="D54" i="4"/>
  <c r="D60" i="4" s="1"/>
  <c r="D58" i="4" s="1"/>
  <c r="D52" i="4"/>
  <c r="D49" i="4"/>
  <c r="O71" i="1"/>
  <c r="J71" i="1"/>
  <c r="E71" i="1"/>
  <c r="P71" i="1" s="1"/>
  <c r="O70" i="1"/>
  <c r="J70" i="1" s="1"/>
  <c r="P70" i="1" s="1"/>
  <c r="E70" i="1"/>
  <c r="O88" i="1"/>
  <c r="J88" i="1"/>
  <c r="E88" i="1"/>
  <c r="P88" i="1" s="1"/>
  <c r="O85" i="1"/>
  <c r="O86" i="1"/>
  <c r="O87" i="1"/>
  <c r="J87" i="1"/>
  <c r="F116" i="2"/>
  <c r="F117" i="2"/>
  <c r="F113" i="2"/>
  <c r="E113" i="2"/>
  <c r="E109" i="2"/>
  <c r="E106" i="2" s="1"/>
  <c r="E105" i="2" s="1"/>
  <c r="D113" i="2"/>
  <c r="C113" i="2" s="1"/>
  <c r="C119" i="2"/>
  <c r="D64" i="2"/>
  <c r="C64" i="2" s="1"/>
  <c r="C65" i="2"/>
  <c r="F31" i="1"/>
  <c r="I79" i="5"/>
  <c r="J42" i="5"/>
  <c r="G29" i="5"/>
  <c r="H28" i="5"/>
  <c r="G28" i="5" s="1"/>
  <c r="H24" i="5"/>
  <c r="H14" i="5" s="1"/>
  <c r="J17" i="5"/>
  <c r="J14" i="5" s="1"/>
  <c r="J13" i="5" s="1"/>
  <c r="K84" i="1"/>
  <c r="O84" i="1" s="1"/>
  <c r="J84" i="1" s="1"/>
  <c r="O75" i="1"/>
  <c r="O74" i="1"/>
  <c r="J74" i="1"/>
  <c r="P74" i="1" s="1"/>
  <c r="F26" i="1"/>
  <c r="E26" i="1" s="1"/>
  <c r="P26" i="1" s="1"/>
  <c r="D18" i="4"/>
  <c r="G45" i="5"/>
  <c r="E72" i="2"/>
  <c r="C72" i="2" s="1"/>
  <c r="G75" i="5"/>
  <c r="G72" i="5"/>
  <c r="G57" i="1"/>
  <c r="G56" i="1"/>
  <c r="D14" i="4"/>
  <c r="D16" i="4"/>
  <c r="D20" i="4"/>
  <c r="D22" i="4"/>
  <c r="D33" i="4"/>
  <c r="D39" i="4" s="1"/>
  <c r="D35" i="4"/>
  <c r="F65" i="1"/>
  <c r="E65" i="1"/>
  <c r="J65" i="1"/>
  <c r="P65" i="1"/>
  <c r="E81" i="1"/>
  <c r="P81" i="1" s="1"/>
  <c r="J81" i="1"/>
  <c r="C118" i="2"/>
  <c r="H70" i="5"/>
  <c r="H65" i="5" s="1"/>
  <c r="H76" i="5"/>
  <c r="G82" i="5"/>
  <c r="O63" i="1"/>
  <c r="J63" i="1" s="1"/>
  <c r="O58" i="1"/>
  <c r="N57" i="1"/>
  <c r="N56" i="1" s="1"/>
  <c r="M57" i="1"/>
  <c r="M56" i="1" s="1"/>
  <c r="M15" i="1"/>
  <c r="M14" i="1" s="1"/>
  <c r="L57" i="1"/>
  <c r="L56" i="1" s="1"/>
  <c r="E87" i="1"/>
  <c r="P87" i="1" s="1"/>
  <c r="C46" i="2"/>
  <c r="O47" i="1"/>
  <c r="J47" i="1"/>
  <c r="E47" i="1"/>
  <c r="P47" i="1"/>
  <c r="E32" i="1"/>
  <c r="P32" i="1" s="1"/>
  <c r="O32" i="1"/>
  <c r="J32" i="1"/>
  <c r="G81" i="5"/>
  <c r="J33" i="5"/>
  <c r="J32" i="5"/>
  <c r="J86" i="1"/>
  <c r="E86" i="1"/>
  <c r="P86" i="1" s="1"/>
  <c r="O34" i="1"/>
  <c r="J39" i="5"/>
  <c r="J36" i="5"/>
  <c r="J35" i="5"/>
  <c r="J46" i="5"/>
  <c r="J48" i="5"/>
  <c r="J19" i="5"/>
  <c r="J56" i="5"/>
  <c r="J57" i="5"/>
  <c r="J59" i="5"/>
  <c r="H40" i="5"/>
  <c r="G40" i="5"/>
  <c r="G63" i="5"/>
  <c r="D22" i="6"/>
  <c r="D21" i="6"/>
  <c r="D20" i="6" s="1"/>
  <c r="K12" i="7"/>
  <c r="F109" i="2"/>
  <c r="F106" i="2" s="1"/>
  <c r="F105" i="2" s="1"/>
  <c r="C116" i="2"/>
  <c r="G39" i="5"/>
  <c r="G54" i="5"/>
  <c r="F68" i="1"/>
  <c r="E68" i="1" s="1"/>
  <c r="P68" i="1" s="1"/>
  <c r="J68" i="1"/>
  <c r="H68" i="1"/>
  <c r="H57" i="1" s="1"/>
  <c r="H56" i="1" s="1"/>
  <c r="E53" i="1"/>
  <c r="J53" i="1"/>
  <c r="P53" i="1"/>
  <c r="O38" i="1"/>
  <c r="J38" i="1" s="1"/>
  <c r="E38" i="1"/>
  <c r="P38" i="1" s="1"/>
  <c r="O36" i="1"/>
  <c r="F28" i="1"/>
  <c r="E17" i="1"/>
  <c r="P17" i="1" s="1"/>
  <c r="J17" i="1"/>
  <c r="H16" i="1"/>
  <c r="H15" i="1" s="1"/>
  <c r="H14" i="1" s="1"/>
  <c r="D47" i="4"/>
  <c r="D45" i="4"/>
  <c r="D59" i="4"/>
  <c r="G67" i="5"/>
  <c r="G80" i="5"/>
  <c r="G79" i="5"/>
  <c r="G78" i="5"/>
  <c r="G70" i="5"/>
  <c r="G58" i="5"/>
  <c r="G59" i="5"/>
  <c r="G57" i="5"/>
  <c r="G56" i="5"/>
  <c r="G55" i="5"/>
  <c r="G48" i="5"/>
  <c r="G46" i="5"/>
  <c r="G36" i="5"/>
  <c r="F41" i="1"/>
  <c r="E41" i="1"/>
  <c r="P41" i="1" s="1"/>
  <c r="J41" i="1"/>
  <c r="F44" i="1"/>
  <c r="E44" i="1" s="1"/>
  <c r="P44" i="1" s="1"/>
  <c r="J44" i="1"/>
  <c r="I15" i="1"/>
  <c r="I14" i="1"/>
  <c r="I57" i="1"/>
  <c r="I56" i="1" s="1"/>
  <c r="I93" i="1" s="1"/>
  <c r="F80" i="1"/>
  <c r="F79" i="1"/>
  <c r="E79" i="1"/>
  <c r="J79" i="1"/>
  <c r="P79" i="1"/>
  <c r="F72" i="1"/>
  <c r="E72" i="1" s="1"/>
  <c r="P72" i="1" s="1"/>
  <c r="J72" i="1"/>
  <c r="O43" i="1"/>
  <c r="J43" i="1"/>
  <c r="P43" i="1" s="1"/>
  <c r="O21" i="1"/>
  <c r="O15" i="1" s="1"/>
  <c r="O14" i="1" s="1"/>
  <c r="J85" i="1"/>
  <c r="P85" i="1" s="1"/>
  <c r="E85" i="1"/>
  <c r="E84" i="1"/>
  <c r="E83" i="1"/>
  <c r="J83" i="1"/>
  <c r="P83" i="1"/>
  <c r="L15" i="1"/>
  <c r="L14" i="1" s="1"/>
  <c r="N15" i="1"/>
  <c r="N14" i="1" s="1"/>
  <c r="G15" i="1"/>
  <c r="G14" i="1"/>
  <c r="G90" i="1"/>
  <c r="G89" i="1" s="1"/>
  <c r="G93" i="1" s="1"/>
  <c r="E54" i="1"/>
  <c r="J54" i="1"/>
  <c r="P54" i="1"/>
  <c r="E24" i="6"/>
  <c r="E21" i="6"/>
  <c r="E20" i="6"/>
  <c r="E25" i="6" s="1"/>
  <c r="D15" i="6"/>
  <c r="C15" i="6" s="1"/>
  <c r="E15" i="6"/>
  <c r="E16" i="6"/>
  <c r="F15" i="6"/>
  <c r="F24" i="6"/>
  <c r="F17" i="6" s="1"/>
  <c r="F14" i="6" s="1"/>
  <c r="F13" i="6" s="1"/>
  <c r="F18" i="6" s="1"/>
  <c r="D16" i="6"/>
  <c r="C16" i="6" s="1"/>
  <c r="F16" i="6"/>
  <c r="C23" i="6"/>
  <c r="G15" i="5"/>
  <c r="G16" i="5"/>
  <c r="G17" i="5"/>
  <c r="G18" i="5"/>
  <c r="G20" i="5"/>
  <c r="G21" i="5"/>
  <c r="G22" i="5"/>
  <c r="G23" i="5"/>
  <c r="G24" i="5"/>
  <c r="G25" i="5"/>
  <c r="G26" i="5"/>
  <c r="G27" i="5"/>
  <c r="G30" i="5"/>
  <c r="G32" i="5"/>
  <c r="G33" i="5"/>
  <c r="G34" i="5"/>
  <c r="G35" i="5"/>
  <c r="G38" i="5"/>
  <c r="G41" i="5"/>
  <c r="G44" i="5"/>
  <c r="G47" i="5"/>
  <c r="G50" i="5"/>
  <c r="G76" i="5"/>
  <c r="G74" i="5"/>
  <c r="D21" i="2"/>
  <c r="D20" i="2" s="1"/>
  <c r="D24" i="2"/>
  <c r="D33" i="2"/>
  <c r="D48" i="2"/>
  <c r="C48" i="2" s="1"/>
  <c r="D51" i="2"/>
  <c r="C51" i="2"/>
  <c r="F13" i="2"/>
  <c r="C17" i="2"/>
  <c r="C18" i="2"/>
  <c r="C19" i="2"/>
  <c r="C22" i="2"/>
  <c r="C23" i="2"/>
  <c r="C24" i="2"/>
  <c r="C25" i="2"/>
  <c r="C26" i="2"/>
  <c r="C27" i="2"/>
  <c r="C33" i="2"/>
  <c r="C34" i="2"/>
  <c r="C35" i="2"/>
  <c r="C38" i="2"/>
  <c r="C39" i="2"/>
  <c r="C40" i="2"/>
  <c r="C41" i="2"/>
  <c r="C42" i="2"/>
  <c r="C47" i="2"/>
  <c r="C49" i="2"/>
  <c r="C50" i="2"/>
  <c r="C52" i="2"/>
  <c r="C54" i="2"/>
  <c r="C56" i="2"/>
  <c r="C59" i="2"/>
  <c r="C60" i="2"/>
  <c r="D80" i="2"/>
  <c r="D87" i="2"/>
  <c r="D86" i="2" s="1"/>
  <c r="C86" i="2" s="1"/>
  <c r="C87" i="2"/>
  <c r="E63" i="2"/>
  <c r="E91" i="2"/>
  <c r="E90" i="2" s="1"/>
  <c r="C90" i="2" s="1"/>
  <c r="E93" i="2"/>
  <c r="C93" i="2" s="1"/>
  <c r="C91" i="2"/>
  <c r="F62" i="2"/>
  <c r="C68" i="2"/>
  <c r="C77" i="2"/>
  <c r="C78" i="2"/>
  <c r="C80" i="2"/>
  <c r="C81" i="2"/>
  <c r="C84" i="2"/>
  <c r="C85" i="2"/>
  <c r="C88" i="2"/>
  <c r="C92" i="2"/>
  <c r="F93" i="2"/>
  <c r="C94" i="2"/>
  <c r="D97" i="2"/>
  <c r="D96" i="2"/>
  <c r="E96" i="2"/>
  <c r="F96" i="2"/>
  <c r="C98" i="2"/>
  <c r="C99" i="2"/>
  <c r="C103" i="2"/>
  <c r="D107" i="2"/>
  <c r="D106" i="2" s="1"/>
  <c r="D109" i="2"/>
  <c r="C109" i="2" s="1"/>
  <c r="D111" i="2"/>
  <c r="C108" i="2"/>
  <c r="C110" i="2"/>
  <c r="C111" i="2"/>
  <c r="C112" i="2"/>
  <c r="C114" i="2"/>
  <c r="C115" i="2"/>
  <c r="C117" i="2"/>
  <c r="E19" i="1"/>
  <c r="E21" i="1"/>
  <c r="E31" i="1"/>
  <c r="P31" i="1" s="1"/>
  <c r="J31" i="1"/>
  <c r="E34" i="1"/>
  <c r="J50" i="1"/>
  <c r="E18" i="1"/>
  <c r="P18" i="1" s="1"/>
  <c r="J18" i="1"/>
  <c r="E20" i="1"/>
  <c r="P20" i="1" s="1"/>
  <c r="J20" i="1"/>
  <c r="E22" i="1"/>
  <c r="P22" i="1" s="1"/>
  <c r="J22" i="1"/>
  <c r="E23" i="1"/>
  <c r="P23" i="1" s="1"/>
  <c r="J23" i="1"/>
  <c r="E24" i="1"/>
  <c r="J24" i="1"/>
  <c r="P24" i="1"/>
  <c r="E25" i="1"/>
  <c r="P25" i="1" s="1"/>
  <c r="J25" i="1"/>
  <c r="J26" i="1"/>
  <c r="E27" i="1"/>
  <c r="J27" i="1"/>
  <c r="P27" i="1"/>
  <c r="E28" i="1"/>
  <c r="P28" i="1" s="1"/>
  <c r="J28" i="1"/>
  <c r="E29" i="1"/>
  <c r="P29" i="1" s="1"/>
  <c r="J29" i="1"/>
  <c r="E33" i="1"/>
  <c r="P33" i="1" s="1"/>
  <c r="J33" i="1"/>
  <c r="J34" i="1"/>
  <c r="P34" i="1" s="1"/>
  <c r="E37" i="1"/>
  <c r="P37" i="1"/>
  <c r="E40" i="1"/>
  <c r="E42" i="1"/>
  <c r="P42" i="1" s="1"/>
  <c r="J42" i="1"/>
  <c r="E46" i="1"/>
  <c r="P46" i="1" s="1"/>
  <c r="J46" i="1"/>
  <c r="E51" i="1"/>
  <c r="J51" i="1"/>
  <c r="P51" i="1"/>
  <c r="E58" i="1"/>
  <c r="P58" i="1" s="1"/>
  <c r="J58" i="1"/>
  <c r="E59" i="1"/>
  <c r="E61" i="1"/>
  <c r="P61" i="1" s="1"/>
  <c r="J61" i="1"/>
  <c r="E62" i="1"/>
  <c r="P62" i="1" s="1"/>
  <c r="J62" i="1"/>
  <c r="E63" i="1"/>
  <c r="E64" i="1"/>
  <c r="J64" i="1"/>
  <c r="P64" i="1"/>
  <c r="E66" i="1"/>
  <c r="P66" i="1" s="1"/>
  <c r="E67" i="1"/>
  <c r="J67" i="1"/>
  <c r="P67" i="1"/>
  <c r="E69" i="1"/>
  <c r="J69" i="1"/>
  <c r="P69" i="1"/>
  <c r="E73" i="1"/>
  <c r="P73" i="1" s="1"/>
  <c r="J73" i="1"/>
  <c r="E75" i="1"/>
  <c r="P75" i="1" s="1"/>
  <c r="J75" i="1"/>
  <c r="E76" i="1"/>
  <c r="P76" i="1" s="1"/>
  <c r="J76" i="1"/>
  <c r="E77" i="1"/>
  <c r="P77" i="1" s="1"/>
  <c r="J77" i="1"/>
  <c r="E78" i="1"/>
  <c r="J78" i="1"/>
  <c r="P78" i="1"/>
  <c r="E80" i="1"/>
  <c r="P80" i="1" s="1"/>
  <c r="J80" i="1"/>
  <c r="E82" i="1"/>
  <c r="J82" i="1"/>
  <c r="P82" i="1"/>
  <c r="F90" i="1"/>
  <c r="F89" i="1" s="1"/>
  <c r="H90" i="1"/>
  <c r="H89" i="1" s="1"/>
  <c r="H93" i="1" s="1"/>
  <c r="P92" i="1"/>
  <c r="D82" i="2"/>
  <c r="C82" i="2"/>
  <c r="D17" i="6"/>
  <c r="C17" i="6" s="1"/>
  <c r="E17" i="6"/>
  <c r="E14" i="6" s="1"/>
  <c r="E13" i="6" s="1"/>
  <c r="E18" i="6" s="1"/>
  <c r="C55" i="2"/>
  <c r="C30" i="2"/>
  <c r="C22" i="6"/>
  <c r="G42" i="5"/>
  <c r="C32" i="2"/>
  <c r="G66" i="5"/>
  <c r="C24" i="6"/>
  <c r="D15" i="2"/>
  <c r="C15" i="2" s="1"/>
  <c r="D14" i="2"/>
  <c r="C14" i="2" s="1"/>
  <c r="D95" i="2"/>
  <c r="C96" i="2"/>
  <c r="P40" i="1"/>
  <c r="C21" i="6"/>
  <c r="C29" i="2"/>
  <c r="D28" i="2"/>
  <c r="C28" i="2" s="1"/>
  <c r="J19" i="1"/>
  <c r="P19" i="1"/>
  <c r="F102" i="2"/>
  <c r="F101" i="2"/>
  <c r="F100" i="2"/>
  <c r="F95" i="2" s="1"/>
  <c r="F104" i="2" s="1"/>
  <c r="C107" i="2"/>
  <c r="C97" i="2"/>
  <c r="D73" i="2"/>
  <c r="C73" i="2" s="1"/>
  <c r="E60" i="1"/>
  <c r="G19" i="5"/>
  <c r="J37" i="5"/>
  <c r="E101" i="2"/>
  <c r="E100" i="2" s="1"/>
  <c r="C101" i="2"/>
  <c r="C20" i="2" l="1"/>
  <c r="P21" i="1"/>
  <c r="L93" i="1"/>
  <c r="G65" i="5"/>
  <c r="G64" i="5" s="1"/>
  <c r="G83" i="5" s="1"/>
  <c r="H64" i="5"/>
  <c r="H83" i="5" s="1"/>
  <c r="D37" i="4"/>
  <c r="J59" i="1"/>
  <c r="P59" i="1" s="1"/>
  <c r="O57" i="1"/>
  <c r="O56" i="1" s="1"/>
  <c r="E62" i="2"/>
  <c r="M93" i="1"/>
  <c r="I38" i="7"/>
  <c r="C37" i="2"/>
  <c r="D36" i="2"/>
  <c r="C36" i="2" s="1"/>
  <c r="E57" i="2"/>
  <c r="C58" i="2"/>
  <c r="E95" i="2"/>
  <c r="C95" i="2" s="1"/>
  <c r="C100" i="2"/>
  <c r="F120" i="2"/>
  <c r="P63" i="1"/>
  <c r="D105" i="2"/>
  <c r="C105" i="2" s="1"/>
  <c r="C106" i="2"/>
  <c r="D25" i="6"/>
  <c r="C25" i="6" s="1"/>
  <c r="C20" i="6"/>
  <c r="N93" i="1"/>
  <c r="H13" i="5"/>
  <c r="G14" i="5"/>
  <c r="G13" i="5" s="1"/>
  <c r="E90" i="1"/>
  <c r="P91" i="1"/>
  <c r="O93" i="1"/>
  <c r="D63" i="2"/>
  <c r="C66" i="2"/>
  <c r="E57" i="1"/>
  <c r="F56" i="1"/>
  <c r="E56" i="1" s="1"/>
  <c r="P84" i="1"/>
  <c r="P52" i="1"/>
  <c r="K93" i="1"/>
  <c r="J83" i="5"/>
  <c r="J21" i="1"/>
  <c r="I65" i="5"/>
  <c r="I64" i="5" s="1"/>
  <c r="I83" i="5" s="1"/>
  <c r="K57" i="1"/>
  <c r="K56" i="1" s="1"/>
  <c r="F15" i="1"/>
  <c r="D14" i="6"/>
  <c r="C21" i="2"/>
  <c r="J15" i="1"/>
  <c r="J14" i="1" s="1"/>
  <c r="F21" i="6"/>
  <c r="F20" i="6" s="1"/>
  <c r="F25" i="6" s="1"/>
  <c r="C14" i="6" l="1"/>
  <c r="D13" i="6"/>
  <c r="F93" i="1"/>
  <c r="D13" i="2"/>
  <c r="P90" i="1"/>
  <c r="E89" i="1"/>
  <c r="E15" i="1"/>
  <c r="F14" i="1"/>
  <c r="J57" i="1"/>
  <c r="J56" i="1" s="1"/>
  <c r="J93" i="1" s="1"/>
  <c r="C63" i="2"/>
  <c r="D62" i="2"/>
  <c r="C62" i="2" s="1"/>
  <c r="C57" i="2"/>
  <c r="E13" i="2"/>
  <c r="P89" i="1" l="1"/>
  <c r="E104" i="2"/>
  <c r="E120" i="2"/>
  <c r="C13" i="2"/>
  <c r="C120" i="2" s="1"/>
  <c r="D120" i="2"/>
  <c r="D104" i="2"/>
  <c r="C104" i="2" s="1"/>
  <c r="P57" i="1"/>
  <c r="P56" i="1"/>
  <c r="C13" i="6"/>
  <c r="D18" i="6"/>
  <c r="C18" i="6" s="1"/>
  <c r="E14" i="1"/>
  <c r="P14" i="1" s="1"/>
  <c r="P15" i="1"/>
  <c r="E93" i="1" l="1"/>
  <c r="P93" i="1"/>
</calcChain>
</file>

<file path=xl/sharedStrings.xml><?xml version="1.0" encoding="utf-8"?>
<sst xmlns="http://schemas.openxmlformats.org/spreadsheetml/2006/main" count="1289" uniqueCount="638">
  <si>
    <t>комунальні послуги та енергоносії</t>
  </si>
  <si>
    <t>0100000</t>
  </si>
  <si>
    <t/>
  </si>
  <si>
    <t>Городоцька мiська рада Львiвської областi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</si>
  <si>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</si>
  <si>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</si>
  <si>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</si>
  <si>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</si>
  <si>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</si>
  <si>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</si>
  <si>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</si>
  <si>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</si>
  <si>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</si>
  <si>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</si>
  <si>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</si>
  <si>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</si>
  <si>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</si>
  <si>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0112100</t>
  </si>
  <si>
    <t>2100</t>
  </si>
  <si>
    <t>0722</t>
  </si>
  <si>
    <t>Стоматологічна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</si>
  <si>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</si>
  <si>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</si>
  <si>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</si>
  <si>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</si>
  <si>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</si>
  <si>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</si>
  <si>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</si>
  <si>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</si>
  <si>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</si>
  <si>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</si>
  <si>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</si>
  <si>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</si>
  <si>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</si>
  <si>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</si>
  <si>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</si>
  <si>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</si>
  <si>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</si>
  <si>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</si>
  <si>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</si>
  <si>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</si>
  <si>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</si>
  <si>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</si>
  <si>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</si>
  <si>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</si>
  <si>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</si>
  <si>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</si>
  <si>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</si>
  <si>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</si>
  <si>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</si>
  <si>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</si>
  <si>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</si>
  <si>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3210</t>
  </si>
  <si>
    <t>1050</t>
  </si>
  <si>
    <t>Організація та проведення громадських робіт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</si>
  <si>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</si>
  <si>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</si>
  <si>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</si>
  <si>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</si>
  <si>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</si>
  <si>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</si>
  <si>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</si>
  <si>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0116011</t>
  </si>
  <si>
    <t>6011</t>
  </si>
  <si>
    <t>0610</t>
  </si>
  <si>
    <t>Експлуатація та технічне обслуговування житлового фонду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</si>
  <si>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</si>
  <si>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</si>
  <si>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</si>
  <si>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</si>
  <si>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</si>
  <si>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</si>
  <si>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</si>
  <si>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</si>
  <si>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</si>
  <si>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</si>
  <si>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</si>
  <si>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</si>
  <si>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</si>
  <si>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</si>
  <si>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Будівництво об`єктів житлово-комунального господарства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</si>
  <si>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</si>
  <si>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</si>
  <si>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</si>
  <si>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</si>
  <si>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</si>
  <si>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</si>
  <si>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</si>
  <si>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0117630</t>
  </si>
  <si>
    <t>7630</t>
  </si>
  <si>
    <t>0470</t>
  </si>
  <si>
    <t>Реалізація програм і заходів в галузі зовнішньоекономічної діяльності</t>
  </si>
  <si>
    <t>0117650</t>
  </si>
  <si>
    <t>7650</t>
  </si>
  <si>
    <t>0490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</si>
  <si>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</si>
  <si>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</si>
  <si>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</si>
  <si>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</si>
  <si>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</si>
  <si>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</si>
  <si>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</si>
  <si>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</si>
  <si>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</si>
  <si>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</si>
  <si>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</si>
  <si>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0118330</t>
  </si>
  <si>
    <t>8330</t>
  </si>
  <si>
    <t>0540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</si>
  <si>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</si>
  <si>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</si>
  <si>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</si>
  <si>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</si>
  <si>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0600000</t>
  </si>
  <si>
    <t>Гуманітарне управління Городоцької міської ради Львівської області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</si>
  <si>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</si>
  <si>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</si>
  <si>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</si>
  <si>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</si>
  <si>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</si>
  <si>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</si>
  <si>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</si>
  <si>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</si>
  <si>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</si>
  <si>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</si>
  <si>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</si>
  <si>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</si>
  <si>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</si>
  <si>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</si>
  <si>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</si>
  <si>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</si>
  <si>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</si>
  <si>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спеціалізованої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</si>
  <si>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</si>
  <si>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</si>
  <si>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</si>
  <si>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</si>
  <si>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</si>
  <si>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</si>
  <si>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</si>
  <si>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</si>
  <si>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</si>
  <si>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</si>
  <si>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</si>
  <si>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</si>
  <si>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</si>
  <si>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</si>
  <si>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</si>
  <si>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</si>
  <si>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</si>
  <si>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0613133</t>
  </si>
  <si>
    <t>3133</t>
  </si>
  <si>
    <t>Інші заходи та заклади молодіжної політики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</si>
  <si>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</si>
  <si>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</si>
  <si>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</si>
  <si>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</si>
  <si>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</si>
  <si>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</si>
  <si>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</si>
  <si>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</si>
  <si>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</si>
  <si>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</si>
  <si>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</si>
  <si>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0614081</t>
  </si>
  <si>
    <t>4081</t>
  </si>
  <si>
    <t>0829</t>
  </si>
  <si>
    <t>Забезпечення діяльності інших закладів в галузі культури і мистецтва</t>
  </si>
  <si>
    <t>0614082</t>
  </si>
  <si>
    <t>4082</t>
  </si>
  <si>
    <t>Інші заходи в галузі культури і мистецтва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</si>
  <si>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</si>
  <si>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</si>
  <si>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</si>
  <si>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</si>
  <si>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0615012</t>
  </si>
  <si>
    <t>5012</t>
  </si>
  <si>
    <t>Проведення навчально-тренувальних зборів і змагань з неолімпійських видів спорту</t>
  </si>
  <si>
    <t>0615031</t>
  </si>
  <si>
    <t>5031</t>
  </si>
  <si>
    <t>Будівництво дороги по комунальної власності на ділянці від вул Львівська до вул.Дачна в с.Бартатів Львівського району Львівської області</t>
  </si>
  <si>
    <t>Утримання та навчально-тренувальна робота комунальних дитячо-юнацьких спортивних шкіл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</si>
  <si>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</si>
  <si>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</si>
  <si>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</si>
  <si>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3700000</t>
  </si>
  <si>
    <t>Фінансове управління Городоцької міської ради Львівської області</t>
  </si>
  <si>
    <t>3710000</t>
  </si>
  <si>
    <t>3710160</t>
  </si>
  <si>
    <t>3718710</t>
  </si>
  <si>
    <t>8710</t>
  </si>
  <si>
    <t>Резервний фонд місцевого бюджету</t>
  </si>
  <si>
    <t>X</t>
  </si>
  <si>
    <t>УСЬОГО</t>
  </si>
  <si>
    <t>"Розподіл видатків бюджету Городоцької міської територіальної громади на 2023 рік"</t>
  </si>
  <si>
    <t>Зміни до додатка №3 рішення Городоцької міської ради "Про бюджет Городоцької міської територіальної громади на 2023 рік"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</si>
  <si>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</si>
  <si>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</si>
  <si>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</si>
  <si>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</si>
  <si>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</si>
  <si>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</si>
  <si>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</si>
  <si>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</si>
  <si>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</si>
  <si>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</si>
  <si>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</si>
  <si>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</si>
  <si>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</si>
  <si>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</si>
  <si>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</si>
  <si>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</si>
  <si>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</si>
  <si>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</si>
  <si>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</si>
  <si>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</si>
  <si>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</si>
  <si>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</si>
  <si>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</si>
  <si>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</si>
  <si>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</si>
  <si>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</si>
  <si>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</si>
  <si>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</si>
  <si>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</si>
  <si>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</si>
  <si>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</si>
  <si>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</si>
  <si>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</si>
  <si>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13030700</t>
  </si>
  <si>
    <t>0611262</t>
  </si>
  <si>
    <t>Рентна плата за користування надрами для видобування нафти </t>
  </si>
  <si>
    <t>13030800</t>
  </si>
  <si>
    <t>Рентна плата за користування надрами для видобування природного газу 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</si>
  <si>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</si>
  <si>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</si>
  <si>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</si>
  <si>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</si>
  <si>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</si>
  <si>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</si>
  <si>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</si>
  <si>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</si>
  <si>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</si>
  <si>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</si>
  <si>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</si>
  <si>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14040100</t>
  </si>
  <si>
    <t>14040200</t>
  </si>
  <si>
    <t>Акцизний податок з реалізації суб'єктами господарювання роздрібної торгівлі підакцизних товарів (крім тих, що оподатковуються згідно з підпунктом 213.1.14 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</si>
  <si>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</si>
  <si>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</si>
  <si>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</si>
  <si>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</si>
  <si>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</si>
  <si>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</si>
  <si>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</si>
  <si>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Програма виготовлення технічної документації, правовстановлюючих документів на об'єкти комунальної власності Городоцької громади та проведення їх оцінки на 2023 рік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</si>
  <si>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</si>
  <si>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</si>
  <si>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</si>
  <si>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</si>
  <si>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</si>
  <si>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</si>
  <si>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</si>
  <si>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</si>
  <si>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</si>
  <si>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</si>
  <si>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</si>
  <si>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</si>
  <si>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</si>
  <si>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</si>
  <si>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</si>
  <si>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18020000</t>
  </si>
  <si>
    <t>Збір за місця для паркування транспортних засобів </t>
  </si>
  <si>
    <t>18020100</t>
  </si>
  <si>
    <t>Збір за місця для паркування транспортних засобів, сплачений юридичними особами </t>
  </si>
  <si>
    <t>18020200</t>
  </si>
  <si>
    <t>Збір за місця для паркування транспортних засобів, сплачений фізичними особами 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</si>
  <si>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</si>
  <si>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</si>
  <si>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</si>
  <si>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</si>
  <si>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</si>
  <si>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</si>
  <si>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</si>
  <si>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</si>
  <si>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</si>
  <si>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</si>
  <si>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</si>
  <si>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</si>
  <si>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</si>
  <si>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</si>
  <si>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</si>
  <si>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</si>
  <si>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</si>
  <si>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</si>
  <si>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</si>
  <si>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</si>
  <si>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</si>
  <si>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</si>
  <si>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</si>
  <si>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</si>
  <si>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</si>
  <si>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</si>
  <si>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</si>
  <si>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</si>
  <si>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</si>
  <si>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21081700</t>
  </si>
  <si>
    <t>Плата за встановлення земельного сервітуту</t>
  </si>
  <si>
    <t>21110000 </t>
  </si>
  <si>
    <t>Надходження коштів від відшкодування втрат сільськогосподарського і лісогосподарського виробництва 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</si>
  <si>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</si>
  <si>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</si>
  <si>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</si>
  <si>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</si>
  <si>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</si>
  <si>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</si>
  <si>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</si>
  <si>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</si>
  <si>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</si>
  <si>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</si>
  <si>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</si>
  <si>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</si>
  <si>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</si>
  <si>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</si>
  <si>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</si>
  <si>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</si>
  <si>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</si>
  <si>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</si>
  <si>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</si>
  <si>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</si>
  <si>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22130000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</si>
  <si>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</si>
  <si>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24000000</t>
  </si>
  <si>
    <t>Інші неподаткові надходження  </t>
  </si>
  <si>
    <t>24060000</t>
  </si>
  <si>
    <t>24060300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</si>
  <si>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</si>
  <si>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</si>
  <si>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</si>
  <si>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</si>
  <si>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</si>
  <si>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</si>
  <si>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</si>
  <si>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</si>
  <si>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</si>
  <si>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</si>
  <si>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</si>
  <si>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</si>
  <si>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</si>
  <si>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</si>
  <si>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</si>
  <si>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</si>
  <si>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</si>
  <si>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</si>
  <si>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</si>
  <si>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</si>
  <si>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</si>
  <si>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</si>
  <si>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</si>
  <si>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</si>
  <si>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</si>
  <si>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</si>
  <si>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Х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</si>
  <si>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</si>
  <si>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</si>
  <si>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</si>
  <si>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</si>
  <si>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</si>
  <si>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</si>
  <si>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</si>
  <si>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</si>
  <si>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</si>
  <si>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</si>
  <si>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</si>
  <si>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</si>
  <si>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</si>
  <si>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</si>
  <si>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</si>
  <si>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</si>
  <si>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</si>
  <si>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</si>
  <si>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</si>
  <si>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</si>
  <si>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</si>
  <si>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Разом доходів</t>
  </si>
  <si>
    <t>Зміни до додатка №1 рішення Городоцької міської ради "Про бюджет Городоцької міської територіальної громади на 2023 рік"</t>
  </si>
  <si>
    <t>"Доходи бюджету Городоцької міської територіальної громади на 2023 рік"</t>
  </si>
  <si>
    <t>Додаток 5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</si>
  <si>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</si>
  <si>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</si>
  <si>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</si>
  <si>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Державний бюджет</t>
  </si>
  <si>
    <t>13100000000</t>
  </si>
  <si>
    <t>Обласний бюджет Львівської області</t>
  </si>
  <si>
    <t>41051000</t>
  </si>
  <si>
    <t>41051200</t>
  </si>
  <si>
    <t>Бюджет Великолюбінської селищної територіальної громади</t>
  </si>
  <si>
    <t>ІІ. Трансферти до спеціального фонду бюджету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</si>
  <si>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</si>
  <si>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</si>
  <si>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</si>
  <si>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</si>
  <si>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</si>
  <si>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</si>
  <si>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</si>
  <si>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</si>
  <si>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</si>
  <si>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</si>
  <si>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</si>
  <si>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Програма забезпечення відкритості в роботі міської ради,  розвитку інформаційної сфери та висвітлення діяльності Городоцької міської ради у газеті "Народна думка" на 2021-2023 роки</t>
  </si>
  <si>
    <t>рішення сесії міської ради від 25.02.2021 №426</t>
  </si>
  <si>
    <t>Програма розвитку та забезпечення функціонування комунальної установи Городоцької міської ради "Об"єднаний трудовий архів" на 2023-2025 роки"</t>
  </si>
  <si>
    <t>рішення сесії міської ради від 15.12.2022 №22/27-5245</t>
  </si>
  <si>
    <t>Програма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</t>
  </si>
  <si>
    <t>рішення сесії міської ради від 22.12.2021 №58</t>
  </si>
  <si>
    <t>Програма розвитку та фінансової підтримки комунального  некомерційного підприємства «Городоцька стоматологічна поліклініка» Городоцької міської ради Львівської області на 2021-2024 р.</t>
  </si>
  <si>
    <t>рішення сесії міської ради від 22.12.2020 №60</t>
  </si>
  <si>
    <t>Програми розвитку та фінансової підтримки комунального некомерційного підприємства «Городоцький центр первинної медико-санітарної допомоги»  Городоцької міської ради Львівської області на 2021-2024 р.</t>
  </si>
  <si>
    <t>рішення сесії міської ради від 22.12.2020 №59</t>
  </si>
  <si>
    <t>Комплексна Програма соціального захисту та забезпечення населення Городоцької міської ради на 2021-2024 р.</t>
  </si>
  <si>
    <t>рішення сесії міської ради від 22.12.2020 №54</t>
  </si>
  <si>
    <t>Місцева  Програма організації  суспільно корисних робіт для порушників,  на яких судом накладено адміністративне  стягнення у виглядівиконання суспільно – корисних робітна  2021-2024 рр.</t>
  </si>
  <si>
    <t>рішення сесії міської ради віл 25.02.2021р. №446</t>
  </si>
  <si>
    <t xml:space="preserve"> Місцева Програма розвитку житлово-комунального господарства та благоустрою Городоцької міської ради Львівської області на 2021-2024 роки</t>
  </si>
  <si>
    <t>рішення сесії міської ради від 22.12.2020 р. № 62</t>
  </si>
  <si>
    <t>Місцева Програма розвитку житлово-комунального господарства та благоустрою Городоцької міської ради Львівської області на 2021-2024 роки</t>
  </si>
  <si>
    <t>Програма розвитку земельних відносин та охорони земель на території Городоцької територіальної  громади на 2023-2025 роки</t>
  </si>
  <si>
    <t>рішення сесії міської ради від 15.12.2022 №22/27-5243</t>
  </si>
  <si>
    <t xml:space="preserve"> Місцева Програма інвестиційного розвитку Городоцької міської ради на 2021-2024 роки"</t>
  </si>
  <si>
    <t>рішення сесії міської ради від 22.12.2020 р. № 64</t>
  </si>
  <si>
    <t>Реконструкція будинку літ.А-2 КЗ ЛОР "Обласне бюро судово-медичної експертизи" з добудовою за адресою: вул.Пекарська, 61 м.Львів, в тому числі коригування проєктно-кошторисної документації</t>
  </si>
  <si>
    <t>Програма розвитку земельних відносин та охорони земель на території Городоцької територіальної громади на 2023-2025 роки</t>
  </si>
  <si>
    <t>Місцева Програма розвитку мережі й утримання автомобільних доріг, організації та безпеки дорожнього руху Городоцької міської ради Львівської області на 2021-2024 роки</t>
  </si>
  <si>
    <t>рішення сесії міської ради від 22.12.2020 р. № 63</t>
  </si>
  <si>
    <t>Програма розвитку партнерства, міжнародної технічної допомоги, промоції Городоцької міської ради та співпраці з громадськими організаціями на 2023–2025 роки</t>
  </si>
  <si>
    <t>рішення сесії міської ради від 15.12.2022 №22/27-5239</t>
  </si>
  <si>
    <t>рішення сесії міської ради від 15.12.2022 №22/27-5235</t>
  </si>
  <si>
    <t>рішення сесії міської ради від 15.12.2022 №22/27-5244</t>
  </si>
  <si>
    <t>Програма охорони навколишнього природного середовища Городоцької міської ради на 2023-2025 роки</t>
  </si>
  <si>
    <t>рішення сесії міської ради від 15.12.2022 №22/27-5246</t>
  </si>
  <si>
    <t>Комплексна програма «Молодь Городоччини» Городоцької міської ради на 2021 - 2024 роки.</t>
  </si>
  <si>
    <t>рішення сесії міської ради від 22.12.2020 р. № 57</t>
  </si>
  <si>
    <t>Комплексна Програма проведення заходів з відзначення державних, національних, професійних, релігійних свят та мистецьких заходів Городоцької міської ради на 2021-2024 р.</t>
  </si>
  <si>
    <t>рішення сесії міської ради від 22.12.2020 р. № 55</t>
  </si>
  <si>
    <t>Комплексна  Програма розвитку фізичної культури і спорту Городоцької міської ради на 2021-2024 р.</t>
  </si>
  <si>
    <t>рішення сесії міської ради від 22.12.2020 р. № 56</t>
  </si>
  <si>
    <t>Зміни до додатка №2 рішення Городоцької міської ради "Про бюджет Городоцької міської територіальної громади на 2022 рік"</t>
  </si>
  <si>
    <t>Будівництво каналізаційної мережі на вул. Зарицького, Г.Полуботка м. Городок Львівської області</t>
  </si>
  <si>
    <t>99,03</t>
  </si>
  <si>
    <t>Реконструкція вуличного освітлення с.Годвишня Городоцької міської ради Львівської області (Коригування)</t>
  </si>
  <si>
    <t>Програма  забезпечення діяльності Відділу державного нагляду (контролю) у Львівській області Державної служби України з безпеки на транспорті</t>
  </si>
  <si>
    <t>Програма матеріальної підтримки відділення поліції №1 Львівського районного  управління поліції №2 ГУНП у Львівській області з питань покращення матеріально-технічної бази, забезпечення охорони публічного порядку та безпеки, профілактики правопорушень, законності, охорони прав, свобод і законних інтересів громадян Городоцької територіальної громади на 2023 рік.</t>
  </si>
  <si>
    <t>Програма громадського здоров’я Городоцької ТГ, направлена на забезпечення функціонування Державної установи «Львівський обласний центр контролю та профілактики хвороб МОЗ України» на 2023 рік</t>
  </si>
  <si>
    <t>рішення сесії міської ради від 20.07.2023р. №23/33-6057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</si>
  <si>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</si>
  <si>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Найменування згідно з Класифікацією фінансування бюджету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</si>
  <si>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</si>
  <si>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</si>
  <si>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</si>
  <si>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</si>
  <si>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</si>
  <si>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</si>
  <si>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</si>
  <si>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</si>
  <si>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</si>
  <si>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208400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</si>
  <si>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</si>
  <si>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</si>
  <si>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</si>
  <si>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</si>
  <si>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</si>
  <si>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</si>
  <si>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</si>
  <si>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</si>
  <si>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</si>
  <si>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602400</t>
  </si>
  <si>
    <t>Бюджет Рудківської мської територіальної громади</t>
  </si>
  <si>
    <t>Зміни до додатка №5 рішення Городоцької міської ради "Про бюджет Городоцької міської територіальної громади на 2023 рік"</t>
  </si>
  <si>
    <t>"Міжбюджетні трансферти бюджету Городоцької міської територіальної громади на 2023 рік"</t>
  </si>
  <si>
    <t>0118311</t>
  </si>
  <si>
    <t>0511</t>
  </si>
  <si>
    <t>Охорона та раціональне використання природних ресурсів</t>
  </si>
  <si>
    <t>0,4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</si>
  <si>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</si>
  <si>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Зміни до додатка №6 рішення Городоцької міської ради "Про бюджет Городоцької міської територіальної громади на 2023 рік"</t>
  </si>
  <si>
    <t>"Розподіл витрат бюджету Городоцької міської територіальної громади на реалізацію місцевих/регіональних програм у 2023 році"</t>
  </si>
  <si>
    <t>"Фінансування бюджету Городоцької міської територіальної громади на 2023 рік"</t>
  </si>
  <si>
    <t>до рішення міської ради „Про внесення змін у бюджет Городоцької міської територіальної громади на 2023 рік”</t>
  </si>
  <si>
    <t xml:space="preserve">                                                                                                                                до рішення міської ради „Про внесення                                                                                                                                                    змін у бюджет Городоцької міської                                                                                                                                                    територіальної громади на 2023 рік”</t>
  </si>
  <si>
    <t>0617321</t>
  </si>
  <si>
    <t>Cекретар ради</t>
  </si>
  <si>
    <t>Микола ЛУПІЙ</t>
  </si>
  <si>
    <t>Секретар ради</t>
  </si>
  <si>
    <t>0118240</t>
  </si>
  <si>
    <t>0380</t>
  </si>
  <si>
    <t>Заходи та роботи з територіальної оборони</t>
  </si>
  <si>
    <t>0119770</t>
  </si>
  <si>
    <t>0119800</t>
  </si>
  <si>
    <t>41059000</t>
  </si>
  <si>
    <t>Субвенція з місцевого бюджету державному бюджету на виконання програм соціально-економічного розвитку регіонів</t>
  </si>
  <si>
    <t>0117670</t>
  </si>
  <si>
    <t>7670</t>
  </si>
  <si>
    <t>Внески до статутного капіталу суб`єктів господарювання</t>
  </si>
  <si>
    <t>0117330</t>
  </si>
  <si>
    <t>Будівництво 1 інших об'єктів комунальної власності</t>
  </si>
  <si>
    <t>0615062</t>
  </si>
  <si>
    <t>Підтримка спорту вищих досягнень та організацій, які здійснюють фізкультурно-спортивну діяльність в регіоні</t>
  </si>
  <si>
    <t>Будівництво 1 освітніх установ та закладів</t>
  </si>
  <si>
    <t>0617350</t>
  </si>
  <si>
    <t>9800</t>
  </si>
  <si>
    <t>0619770</t>
  </si>
  <si>
    <t>9770</t>
  </si>
  <si>
    <t xml:space="preserve">     1. Показники міжбюджетних трансфертів з інших бюджетів</t>
  </si>
  <si>
    <t xml:space="preserve"> </t>
  </si>
  <si>
    <t>рішення виконавчого комітету
від 25 серпня 2022р. №214</t>
  </si>
  <si>
    <t xml:space="preserve">Програма інформатизації «Цифрова Городоччина» на 2022-2024 роки
</t>
  </si>
  <si>
    <t>Програма «Підтримки  підрозділів територіальної оборони та Збройних Сил України» на 2023 рік</t>
  </si>
  <si>
    <t xml:space="preserve">Програма «Забезпечення заходів у сфері державної  безпеки України та ефективної діяльності Управління Служби безпеки України у Львівській області  на 2023 рік».
</t>
  </si>
  <si>
    <t xml:space="preserve">Програма «Безпечна громада» на 2023 рік
</t>
  </si>
  <si>
    <t xml:space="preserve">Програма «Пожежної та техногенної безпеки Городоцької територіальної громади, направленої на забезпечення функціонування 15 Державної пожежно-рятувальної частини 10 Державного пожежно-рятувального загону ГУ ДСНС України у Львівській області на 2023 рік»    </t>
  </si>
  <si>
    <t>Програма фінансової підтримки комунальних підприємств Городоцької міської ради на 2021-2024 роки</t>
  </si>
  <si>
    <t>рішення сесії міської ради від 22.12.2020р № 61</t>
  </si>
  <si>
    <t>Програма "Фінансова підтримка державної міграційної служби на 2023 - 2024 роки"</t>
  </si>
  <si>
    <t>рішення сесії міської ради від 09.02.2023р. №23/28-5335</t>
  </si>
  <si>
    <t>рішення сесії міської ради від 09.02.2023р. №23/28-5337</t>
  </si>
  <si>
    <t>рішення сесії міської ради від 09.02.2023р. №23/28-5338</t>
  </si>
  <si>
    <t>рішення сесії міської ради від 09.02.2023р. №23/28-5339</t>
  </si>
  <si>
    <t>рішення сесії міської ради від 09.02.2023р. №23/28-5342</t>
  </si>
  <si>
    <t>рішення сесії міської ради від 09.02.2023р. №23/28-5332</t>
  </si>
  <si>
    <t>Додаток 2</t>
  </si>
  <si>
    <t>1310000000</t>
  </si>
  <si>
    <t>0119730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</si>
  <si>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</si>
  <si>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</si>
  <si>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0110160</t>
  </si>
  <si>
    <t>Програми  утримання та ремонту автомобільних доріг  загального  користування державного та місцевого значення Львівської області на території Городоцької міської ради на 2023 рік"</t>
  </si>
  <si>
    <t>рішення сесії міської ради від 16.03.2023 №23/29-5477</t>
  </si>
  <si>
    <t>Програми  утримання та ремонту автомобільних доріг  загального  користування державного та місцевого значення Львівської області на території Городоцької міської ради на 2023 рік</t>
  </si>
  <si>
    <t>Субвенція з місцевого бюджету на виконання інвестиційних проектів,</t>
  </si>
  <si>
    <t>Додаток № 4</t>
  </si>
  <si>
    <t>Зміни до додатка №4 рішення Городоцької міської ради "Про бюджет Городоцької міської територіальної громади на 2023 рік"</t>
  </si>
  <si>
    <t>"Обсяги капітальних вкладень бюджету Городоцької міської територіальної громади у розрізі інвестиційних проєктів                                                                   у 2023 році"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</si>
  <si>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</si>
  <si>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проєкту</t>
  </si>
  <si>
    <t>Загальний період реалізації проєкту, (рік початку і завершення)</t>
  </si>
  <si>
    <t>Загальна вартість проєкту,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</si>
  <si>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</si>
  <si>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</si>
  <si>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проекту на кінець 2023 року, %</t>
  </si>
  <si>
    <t>0</t>
  </si>
  <si>
    <t>Каналізування житлових мікрорайонів м. Городок, V етап вул. Підгіря, Дорошенка, Сагайдачного, Шашкевича, Хоткевича, Шевченка, Окружна, Галицька, Коновальця (коригування)</t>
  </si>
  <si>
    <t>2015-2025</t>
  </si>
  <si>
    <t>Будівництво побутової каналізації від вул.Львівська,657А, по вул.Сонячна, вул.Мазепи у м. Городок Львівської області</t>
  </si>
  <si>
    <t>2021-2025</t>
  </si>
  <si>
    <t>Будівництво інших об`єктів комунальної власності</t>
  </si>
  <si>
    <t>Улаштування (будівництво) світлофорного об"єкту на пішохідному переході в м.Городок Львівської області на автомобільній дорозі загального користування державного значення М-11 Львів-Шегині, км 25+400, в т.ч. виготовлення ПКД</t>
  </si>
  <si>
    <t>2023-2024</t>
  </si>
  <si>
    <t>7321</t>
  </si>
  <si>
    <t>Будівництво освітніх установ та закладів</t>
  </si>
  <si>
    <t xml:space="preserve">Будівництво ЗОШ І-ІІ ступенів в с.Братковичі Городоцького району Львівської області. Коригування </t>
  </si>
  <si>
    <t>2016-2022</t>
  </si>
  <si>
    <t>Будівництво ЗОШ І-ІІ ступенів в с.Дубаневичі Городоцького району Львівської області. Коригування.</t>
  </si>
  <si>
    <t>2016-2020</t>
  </si>
  <si>
    <t>Реконструкція (термореновація) будівлі Родатицького НВК І-ІІІ ст. "ЗЗСО-ЗДО" Городоцької міської ради Львівської області в с.Родатичі, вул.Шевченка,42 (заходи з енергозбереження), в т.ч.ПКД</t>
  </si>
  <si>
    <t>Додаток 6</t>
  </si>
  <si>
    <t>рішення сесії міської ради від 20.07.2023р. №23/33-6047</t>
  </si>
  <si>
    <t>Програма фінансової підтримки КЗ ЛОР 
«Обласне бюро судово-медичної експертизи» на 2023 рік</t>
  </si>
  <si>
    <t>Субвенція з місцевого бюджету на виконання інвестиційних проектів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</si>
  <si>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</si>
  <si>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</si>
  <si>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0115045</t>
  </si>
  <si>
    <t>Реконструкція вуличного освітлення вул.Верхня с.Добряни Городоцької міської ради Львівської області (Коригування)</t>
  </si>
  <si>
    <t>0117691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</si>
  <si>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</si>
  <si>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</si>
  <si>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Будівництво мультифункціональних майданчиків для занять ігровими видами спорту</t>
  </si>
  <si>
    <t>Транспортний податок з фізичних осіб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</si>
  <si>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</si>
  <si>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5045</t>
  </si>
  <si>
    <t>Будівництво мультифункційного спортивного майданчика зі поліуретановим (наливним) покриттям для занять ігровими видами спорту за адресою м.Городок вул. Львівська, 7 (в т.ч. виготовлення ПКД)</t>
  </si>
  <si>
    <t>2023</t>
  </si>
  <si>
    <t>100</t>
  </si>
  <si>
    <t>Реконструкція очисних споруд на вул.Комарнівська, 68 в м.Городок Львівської області", в т.ч. виготовлення ПКД</t>
  </si>
  <si>
    <t>Реконструкція скверу на майдані Гайдамаків в м. Городок Львівської області", в т.ч. виготовлення ПКД</t>
  </si>
  <si>
    <t>0617368</t>
  </si>
  <si>
    <t>Виконання інвестиційних проектів за рахунок субвенцій з інших бюджетів</t>
  </si>
  <si>
    <t>рішення сесії міської ради від 20.04.2023р. №23/30-5605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</si>
  <si>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</si>
  <si>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0615049</t>
  </si>
  <si>
    <t>Виконання окремих заходів з реалізації соціального проекту "Активні парки - локації здорової України"</t>
  </si>
  <si>
    <t>Будівництво міської дороги по вул.Героїв Крут у м.Городок Львівської обл., в т.ч. виготовлення ПКД</t>
  </si>
  <si>
    <t>Будівництво побутової каналізаційної мережі від буд. №35 по вул. Скітник до буд. №37 по вул. І.Франка м. Городок Львівської обл. (в т.ч. виготовлення ПКД)</t>
  </si>
  <si>
    <t>Будівництво зупинки громадського транспорту в с.Повітно Львівської області на автодорозі Р-84 "Бібрка-Кам'янка-Бузька-Жовква-Городок-Миколаїв-Жидачів-Калуш-Бурштин" на ділянці км 138+900 (в т.ч. виготовлення ПКД)</t>
  </si>
  <si>
    <t>Інші дотації з місцевого бюджету</t>
  </si>
  <si>
    <t xml:space="preserve">Програма утримання майна  комунальної власності Городоцької міської ради на 2023 рік
</t>
  </si>
  <si>
    <t>рішення сесії міської ради від 25.05.2023р №23/31-5819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</si>
  <si>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</si>
  <si>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</si>
  <si>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</si>
  <si>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</si>
  <si>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0611261</t>
  </si>
  <si>
    <t>1261</t>
  </si>
  <si>
    <t>рішення сесії міської ради від 24.08.2023р. №23/34-6130</t>
  </si>
  <si>
    <t>рішення сесії міської ради від 24.08.2023р. №23/34-6127</t>
  </si>
  <si>
    <t>Співфінансування заходів, що реалізуються за рахунок субвенції з державного бюджету місцевим бюджетам на облаштування безпечних умов у закладах загальної середньої освіти</t>
  </si>
  <si>
    <t>01601262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</si>
  <si>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</si>
  <si>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</si>
  <si>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0119720</t>
  </si>
  <si>
    <t>9720</t>
  </si>
  <si>
    <t>Реконструкція вуличного освітлення в с.Градівка Городоцької міської ради Львівської області</t>
  </si>
  <si>
    <t>Будівництво каналізаційної мережі на вул. Зарицького, Г.Полуботка м. Городок Львівської області.Коригування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</si>
  <si>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</si>
  <si>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 xml:space="preserve">Програма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роки.
</t>
  </si>
  <si>
    <t xml:space="preserve">  Програма запобігання та ліквідації надзвичайних ситуацій на території Городоцької територіальної громади на 2023 рік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</si>
  <si>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 підпунктом 213.1.14 пункту 213.1 статті 213 Податкового кодексу України</t>
  </si>
  <si>
    <t xml:space="preserve">Штрафні санкції, що застосовуються відповідно до Закону України 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 </t>
  </si>
  <si>
    <t>Програма поліпшення сервісу обслуговування платників податків Городоцької територіальної громади на 2023 рік</t>
  </si>
  <si>
    <t>Капітальний ремонт спортивного майданчика з штучним трав'яним покриттям по вул.Команрівська м.Городок Львівської області</t>
  </si>
  <si>
    <t>2021-2023</t>
  </si>
  <si>
    <t>Додаток 3</t>
  </si>
  <si>
    <t>1354800000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</si>
  <si>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</si>
  <si>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</si>
  <si>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</si>
  <si>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</si>
  <si>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</si>
  <si>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</si>
  <si>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</si>
  <si>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</si>
  <si>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</si>
  <si>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</si>
  <si>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</si>
  <si>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</si>
  <si>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</si>
  <si>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</si>
  <si>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</si>
  <si>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від 19 жовтня 2023 року   № 23/37-6443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</si>
</sst>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\ _₽_-;\-* #,##0.00\ _₽_-;_-* &quot;-&quot;??\ _₽_-;_-@_-"/>
    <numFmt numFmtId="174" formatCode="#,##0.00;\-#,##0.00;#,&quot;-&quot;"/>
    <numFmt numFmtId="175" formatCode="_-* #,##0_р_._-;\-* #,##0_р_._-;_-* &quot;-&quot;_р_._-;_-@_-"/>
    <numFmt numFmtId="176" formatCode="_-* #,##0.00_р_._-;\-* #,##0.00_р_._-;_-* &quot;-&quot;??_р_._-;_-@_-"/>
    <numFmt numFmtId="183" formatCode="_-* #,##0\ _г_р_н_._-;\-* #,##0\ _г_р_н_._-;_-* &quot;-&quot;??\ _г_р_н_._-;_-@_-"/>
  </numFmts>
  <fonts count="64" x14ac:knownFonts="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1"/>
      <color indexed="8"/>
      <name val="Calibri"/>
      <family val="2"/>
    </font>
    <font>
      <sz val="10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 Cyr"/>
      <charset val="204"/>
    </font>
    <font>
      <sz val="10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0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0"/>
      <color indexed="52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color indexed="6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indexed="60"/>
      <name val="Calibri"/>
      <family val="2"/>
      <charset val="204"/>
    </font>
    <font>
      <sz val="10"/>
      <name val="Helv"/>
      <charset val="204"/>
    </font>
    <font>
      <sz val="10"/>
      <color indexed="10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8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2"/>
      <name val="Arial Cyr"/>
      <charset val="204"/>
    </font>
    <font>
      <b/>
      <u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sz val="10"/>
      <color indexed="63"/>
      <name val="Arial"/>
      <family val="2"/>
      <charset val="204"/>
    </font>
    <font>
      <sz val="12"/>
      <color indexed="6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8"/>
      <name val="Calibri"/>
      <family val="2"/>
      <charset val="204"/>
    </font>
    <font>
      <b/>
      <u/>
      <sz val="12"/>
      <name val="Times New Roman"/>
      <family val="1"/>
      <charset val="204"/>
    </font>
    <font>
      <b/>
      <u/>
      <sz val="12"/>
      <name val="Arial"/>
      <family val="2"/>
      <charset val="204"/>
    </font>
    <font>
      <sz val="8"/>
      <name val="Times New Roman"/>
      <family val="1"/>
      <charset val="204"/>
    </font>
    <font>
      <sz val="11"/>
      <color indexed="6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0" borderId="1" applyNumberFormat="0" applyAlignment="0" applyProtection="0"/>
    <xf numFmtId="0" fontId="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3" fillId="0" borderId="7" applyNumberFormat="0" applyFill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" fillId="23" borderId="9" applyNumberFormat="0" applyFont="0" applyAlignment="0" applyProtection="0"/>
    <xf numFmtId="0" fontId="27" fillId="20" borderId="2" applyNumberFormat="0" applyAlignment="0" applyProtection="0"/>
    <xf numFmtId="0" fontId="28" fillId="0" borderId="6" applyNumberFormat="0" applyFill="0" applyAlignment="0" applyProtection="0"/>
    <xf numFmtId="0" fontId="29" fillId="22" borderId="0" applyNumberFormat="0" applyBorder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238">
    <xf numFmtId="0" fontId="0" fillId="0" borderId="0" xfId="0"/>
    <xf numFmtId="0" fontId="35" fillId="0" borderId="0" xfId="0" applyFont="1"/>
    <xf numFmtId="0" fontId="38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0" xfId="0" applyBorder="1" applyAlignment="1">
      <alignment horizontal="center" vertical="center" wrapText="1"/>
    </xf>
    <xf numFmtId="0" fontId="0" fillId="24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39" fillId="24" borderId="10" xfId="0" applyFont="1" applyFill="1" applyBorder="1" applyAlignment="1">
      <alignment vertical="center" wrapText="1"/>
    </xf>
    <xf numFmtId="0" fontId="39" fillId="24" borderId="10" xfId="0" quotePrefix="1" applyFont="1" applyFill="1" applyBorder="1" applyAlignment="1">
      <alignment vertical="center" wrapText="1"/>
    </xf>
    <xf numFmtId="174" fontId="39" fillId="24" borderId="10" xfId="0" applyNumberFormat="1" applyFont="1" applyFill="1" applyBorder="1" applyAlignment="1">
      <alignment vertical="center"/>
    </xf>
    <xf numFmtId="0" fontId="39" fillId="25" borderId="10" xfId="0" applyFont="1" applyFill="1" applyBorder="1" applyAlignment="1">
      <alignment vertical="center" wrapText="1"/>
    </xf>
    <xf numFmtId="0" fontId="39" fillId="25" borderId="10" xfId="0" quotePrefix="1" applyFont="1" applyFill="1" applyBorder="1" applyAlignment="1">
      <alignment vertical="center" wrapText="1"/>
    </xf>
    <xf numFmtId="174" fontId="39" fillId="25" borderId="10" xfId="0" applyNumberFormat="1" applyFont="1" applyFill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quotePrefix="1" applyBorder="1" applyAlignment="1">
      <alignment vertical="center" wrapText="1"/>
    </xf>
    <xf numFmtId="174" fontId="0" fillId="24" borderId="10" xfId="0" applyNumberFormat="1" applyFill="1" applyBorder="1" applyAlignment="1">
      <alignment vertical="center"/>
    </xf>
    <xf numFmtId="4" fontId="0" fillId="0" borderId="10" xfId="0" applyNumberFormat="1" applyBorder="1" applyAlignment="1">
      <alignment vertical="center" wrapText="1"/>
    </xf>
    <xf numFmtId="174" fontId="0" fillId="0" borderId="10" xfId="0" applyNumberFormat="1" applyBorder="1" applyAlignment="1">
      <alignment vertical="center"/>
    </xf>
    <xf numFmtId="0" fontId="0" fillId="0" borderId="10" xfId="0" quotePrefix="1" applyBorder="1" applyAlignment="1">
      <alignment horizontal="left" vertical="center" wrapText="1"/>
    </xf>
    <xf numFmtId="4" fontId="0" fillId="0" borderId="10" xfId="0" quotePrefix="1" applyNumberFormat="1" applyBorder="1" applyAlignment="1">
      <alignment horizontal="left" vertical="center" wrapText="1"/>
    </xf>
    <xf numFmtId="4" fontId="0" fillId="0" borderId="10" xfId="0" quotePrefix="1" applyNumberFormat="1" applyBorder="1" applyAlignment="1">
      <alignment vertical="center" wrapText="1"/>
    </xf>
    <xf numFmtId="49" fontId="0" fillId="0" borderId="10" xfId="0" applyNumberFormat="1" applyBorder="1" applyAlignment="1">
      <alignment horizontal="left" vertical="center" wrapText="1"/>
    </xf>
    <xf numFmtId="49" fontId="0" fillId="0" borderId="10" xfId="0" applyNumberFormat="1" applyBorder="1" applyAlignment="1">
      <alignment vertical="center" wrapText="1"/>
    </xf>
    <xf numFmtId="0" fontId="39" fillId="24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47" fillId="0" borderId="0" xfId="0" applyFont="1" applyAlignment="1">
      <alignment wrapText="1"/>
    </xf>
    <xf numFmtId="0" fontId="43" fillId="0" borderId="0" xfId="68" applyFont="1" applyAlignment="1">
      <alignment horizontal="center"/>
    </xf>
    <xf numFmtId="0" fontId="44" fillId="0" borderId="0" xfId="68" applyFont="1"/>
    <xf numFmtId="0" fontId="21" fillId="0" borderId="0" xfId="68"/>
    <xf numFmtId="0" fontId="41" fillId="0" borderId="0" xfId="68" applyFont="1" applyFill="1" applyBorder="1" applyAlignment="1">
      <alignment horizontal="left"/>
    </xf>
    <xf numFmtId="0" fontId="22" fillId="0" borderId="0" xfId="66" applyAlignment="1">
      <alignment wrapText="1"/>
    </xf>
    <xf numFmtId="0" fontId="39" fillId="0" borderId="10" xfId="0" applyFont="1" applyBorder="1" applyAlignment="1">
      <alignment vertical="center" wrapText="1"/>
    </xf>
    <xf numFmtId="174" fontId="39" fillId="24" borderId="10" xfId="0" applyNumberFormat="1" applyFont="1" applyFill="1" applyBorder="1" applyAlignment="1">
      <alignment horizontal="right" vertical="center"/>
    </xf>
    <xf numFmtId="174" fontId="39" fillId="0" borderId="10" xfId="0" applyNumberFormat="1" applyFont="1" applyBorder="1" applyAlignment="1">
      <alignment horizontal="right" vertical="center"/>
    </xf>
    <xf numFmtId="0" fontId="47" fillId="0" borderId="10" xfId="0" applyFont="1" applyBorder="1" applyAlignment="1">
      <alignment wrapText="1"/>
    </xf>
    <xf numFmtId="174" fontId="0" fillId="24" borderId="10" xfId="0" applyNumberFormat="1" applyFill="1" applyBorder="1" applyAlignment="1">
      <alignment horizontal="right" vertical="center"/>
    </xf>
    <xf numFmtId="174" fontId="0" fillId="0" borderId="10" xfId="0" applyNumberFormat="1" applyBorder="1" applyAlignment="1">
      <alignment horizontal="right" vertical="center"/>
    </xf>
    <xf numFmtId="0" fontId="1" fillId="0" borderId="0" xfId="30" applyFont="1" applyAlignment="1" applyProtection="1">
      <alignment wrapText="1"/>
    </xf>
    <xf numFmtId="0" fontId="47" fillId="0" borderId="10" xfId="0" applyFont="1" applyBorder="1"/>
    <xf numFmtId="0" fontId="48" fillId="0" borderId="0" xfId="0" applyFont="1" applyAlignment="1">
      <alignment wrapText="1"/>
    </xf>
    <xf numFmtId="174" fontId="39" fillId="0" borderId="10" xfId="0" applyNumberFormat="1" applyFont="1" applyFill="1" applyBorder="1" applyAlignment="1">
      <alignment horizontal="right" vertical="center"/>
    </xf>
    <xf numFmtId="0" fontId="1" fillId="0" borderId="10" xfId="0" applyFont="1" applyBorder="1" applyAlignment="1">
      <alignment horizontal="left" vertical="center" wrapText="1"/>
    </xf>
    <xf numFmtId="174" fontId="1" fillId="24" borderId="10" xfId="0" applyNumberFormat="1" applyFont="1" applyFill="1" applyBorder="1" applyAlignment="1">
      <alignment horizontal="right" vertical="center"/>
    </xf>
    <xf numFmtId="0" fontId="41" fillId="0" borderId="0" xfId="66" applyFont="1"/>
    <xf numFmtId="0" fontId="49" fillId="0" borderId="0" xfId="66" applyFont="1"/>
    <xf numFmtId="0" fontId="41" fillId="0" borderId="0" xfId="66" applyFont="1" applyFill="1" applyBorder="1" applyAlignment="1">
      <alignment horizontal="left"/>
    </xf>
    <xf numFmtId="0" fontId="41" fillId="0" borderId="0" xfId="0" applyFont="1"/>
    <xf numFmtId="0" fontId="45" fillId="0" borderId="0" xfId="0" applyFont="1" applyAlignment="1"/>
    <xf numFmtId="0" fontId="0" fillId="0" borderId="0" xfId="0" applyAlignment="1"/>
    <xf numFmtId="0" fontId="45" fillId="0" borderId="0" xfId="68" applyFont="1"/>
    <xf numFmtId="0" fontId="51" fillId="0" borderId="0" xfId="0" applyFont="1" applyAlignment="1">
      <alignment horizontal="left"/>
    </xf>
    <xf numFmtId="0" fontId="0" fillId="0" borderId="10" xfId="0" applyBorder="1" applyAlignment="1">
      <alignment horizontal="center" vertical="top" wrapText="1"/>
    </xf>
    <xf numFmtId="0" fontId="39" fillId="24" borderId="10" xfId="0" applyFont="1" applyFill="1" applyBorder="1" applyAlignment="1">
      <alignment horizontal="center" vertical="center"/>
    </xf>
    <xf numFmtId="0" fontId="39" fillId="24" borderId="11" xfId="0" applyFont="1" applyFill="1" applyBorder="1" applyAlignment="1">
      <alignment horizontal="centerContinuous" vertical="center" wrapText="1"/>
    </xf>
    <xf numFmtId="0" fontId="39" fillId="24" borderId="12" xfId="0" applyFont="1" applyFill="1" applyBorder="1" applyAlignment="1">
      <alignment horizontal="centerContinuous" vertical="center"/>
    </xf>
    <xf numFmtId="174" fontId="39" fillId="24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Continuous" vertical="center" wrapText="1"/>
    </xf>
    <xf numFmtId="0" fontId="0" fillId="0" borderId="12" xfId="0" applyBorder="1" applyAlignment="1">
      <alignment horizontal="centerContinuous" vertical="center"/>
    </xf>
    <xf numFmtId="174" fontId="0" fillId="0" borderId="10" xfId="0" applyNumberFormat="1" applyBorder="1" applyAlignment="1">
      <alignment horizontal="center" vertical="center"/>
    </xf>
    <xf numFmtId="174" fontId="0" fillId="0" borderId="10" xfId="0" applyNumberFormat="1" applyFill="1" applyBorder="1" applyAlignment="1">
      <alignment horizontal="center" vertical="center"/>
    </xf>
    <xf numFmtId="0" fontId="39" fillId="25" borderId="10" xfId="0" applyFont="1" applyFill="1" applyBorder="1" applyAlignment="1">
      <alignment horizontal="center"/>
    </xf>
    <xf numFmtId="0" fontId="50" fillId="24" borderId="10" xfId="0" applyFont="1" applyFill="1" applyBorder="1" applyAlignment="1">
      <alignment horizontal="center" vertical="center" wrapText="1"/>
    </xf>
    <xf numFmtId="0" fontId="39" fillId="25" borderId="11" xfId="0" applyFont="1" applyFill="1" applyBorder="1" applyAlignment="1">
      <alignment horizontal="left" vertical="center"/>
    </xf>
    <xf numFmtId="0" fontId="39" fillId="25" borderId="12" xfId="0" applyFont="1" applyFill="1" applyBorder="1" applyAlignment="1">
      <alignment horizontal="centerContinuous" vertical="center"/>
    </xf>
    <xf numFmtId="174" fontId="39" fillId="25" borderId="10" xfId="0" applyNumberFormat="1" applyFont="1" applyFill="1" applyBorder="1" applyAlignment="1">
      <alignment horizontal="center"/>
    </xf>
    <xf numFmtId="0" fontId="39" fillId="25" borderId="10" xfId="0" applyFont="1" applyFill="1" applyBorder="1" applyAlignment="1">
      <alignment horizontal="centerContinuous" vertical="center"/>
    </xf>
    <xf numFmtId="0" fontId="39" fillId="25" borderId="10" xfId="0" applyFont="1" applyFill="1" applyBorder="1" applyAlignment="1">
      <alignment horizontal="left" vertical="center"/>
    </xf>
    <xf numFmtId="174" fontId="39" fillId="25" borderId="10" xfId="0" applyNumberFormat="1" applyFont="1" applyFill="1" applyBorder="1" applyAlignment="1">
      <alignment horizontal="center" vertical="center"/>
    </xf>
    <xf numFmtId="174" fontId="39" fillId="25" borderId="10" xfId="0" applyNumberFormat="1" applyFont="1" applyFill="1" applyBorder="1" applyAlignment="1">
      <alignment horizontal="left" vertical="center"/>
    </xf>
    <xf numFmtId="174" fontId="40" fillId="0" borderId="0" xfId="0" applyNumberFormat="1" applyFont="1" applyBorder="1" applyAlignment="1">
      <alignment horizontal="center" vertical="center"/>
    </xf>
    <xf numFmtId="0" fontId="41" fillId="0" borderId="0" xfId="68" applyFont="1" applyFill="1" applyBorder="1" applyAlignment="1">
      <alignment horizontal="right"/>
    </xf>
    <xf numFmtId="0" fontId="0" fillId="0" borderId="10" xfId="0" applyBorder="1" applyAlignment="1">
      <alignment vertical="center"/>
    </xf>
    <xf numFmtId="0" fontId="39" fillId="0" borderId="10" xfId="0" applyFont="1" applyFill="1" applyBorder="1" applyAlignment="1">
      <alignment vertical="center" wrapText="1"/>
    </xf>
    <xf numFmtId="0" fontId="39" fillId="0" borderId="10" xfId="0" quotePrefix="1" applyFont="1" applyFill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  <xf numFmtId="0" fontId="0" fillId="0" borderId="10" xfId="0" quotePrefix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50" fillId="0" borderId="0" xfId="0" applyFont="1"/>
    <xf numFmtId="0" fontId="45" fillId="0" borderId="0" xfId="0" applyFont="1"/>
    <xf numFmtId="0" fontId="53" fillId="0" borderId="0" xfId="0" quotePrefix="1" applyFont="1" applyAlignment="1">
      <alignment horizontal="center"/>
    </xf>
    <xf numFmtId="0" fontId="50" fillId="0" borderId="0" xfId="0" applyFont="1" applyAlignment="1">
      <alignment horizontal="right"/>
    </xf>
    <xf numFmtId="0" fontId="50" fillId="0" borderId="10" xfId="0" applyFont="1" applyBorder="1" applyAlignment="1">
      <alignment horizontal="center" vertical="center" wrapText="1"/>
    </xf>
    <xf numFmtId="0" fontId="54" fillId="0" borderId="10" xfId="0" applyFont="1" applyBorder="1" applyAlignment="1">
      <alignment vertical="center"/>
    </xf>
    <xf numFmtId="0" fontId="54" fillId="0" borderId="10" xfId="0" applyFont="1" applyBorder="1" applyAlignment="1">
      <alignment vertical="center" wrapText="1"/>
    </xf>
    <xf numFmtId="174" fontId="54" fillId="24" borderId="10" xfId="0" applyNumberFormat="1" applyFont="1" applyFill="1" applyBorder="1" applyAlignment="1">
      <alignment horizontal="right" vertical="center"/>
    </xf>
    <xf numFmtId="174" fontId="54" fillId="0" borderId="10" xfId="0" applyNumberFormat="1" applyFont="1" applyBorder="1" applyAlignment="1">
      <alignment horizontal="right" vertical="center"/>
    </xf>
    <xf numFmtId="0" fontId="50" fillId="0" borderId="10" xfId="0" applyFont="1" applyBorder="1" applyAlignment="1">
      <alignment vertical="center"/>
    </xf>
    <xf numFmtId="0" fontId="50" fillId="0" borderId="10" xfId="0" applyFont="1" applyBorder="1" applyAlignment="1">
      <alignment vertical="center" wrapText="1"/>
    </xf>
    <xf numFmtId="174" fontId="50" fillId="0" borderId="10" xfId="0" applyNumberFormat="1" applyFont="1" applyBorder="1" applyAlignment="1">
      <alignment horizontal="right" vertical="center"/>
    </xf>
    <xf numFmtId="0" fontId="54" fillId="24" borderId="10" xfId="0" applyFont="1" applyFill="1" applyBorder="1" applyAlignment="1">
      <alignment horizontal="center"/>
    </xf>
    <xf numFmtId="0" fontId="54" fillId="24" borderId="10" xfId="0" applyFont="1" applyFill="1" applyBorder="1"/>
    <xf numFmtId="174" fontId="54" fillId="24" borderId="10" xfId="0" applyNumberFormat="1" applyFont="1" applyFill="1" applyBorder="1" applyAlignment="1">
      <alignment horizontal="right"/>
    </xf>
    <xf numFmtId="0" fontId="41" fillId="0" borderId="0" xfId="67" applyFont="1"/>
    <xf numFmtId="0" fontId="49" fillId="0" borderId="0" xfId="67" applyFont="1"/>
    <xf numFmtId="0" fontId="43" fillId="0" borderId="0" xfId="0" applyFont="1" applyAlignment="1">
      <alignment wrapText="1"/>
    </xf>
    <xf numFmtId="0" fontId="36" fillId="0" borderId="0" xfId="66" applyFont="1" applyAlignment="1">
      <alignment wrapText="1"/>
    </xf>
    <xf numFmtId="0" fontId="41" fillId="0" borderId="0" xfId="0" applyFont="1" applyAlignment="1">
      <alignment horizontal="right"/>
    </xf>
    <xf numFmtId="49" fontId="1" fillId="0" borderId="10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1" fillId="0" borderId="10" xfId="0" quotePrefix="1" applyFont="1" applyBorder="1" applyAlignment="1">
      <alignment vertical="center" wrapText="1"/>
    </xf>
    <xf numFmtId="0" fontId="21" fillId="0" borderId="10" xfId="0" applyFont="1" applyFill="1" applyBorder="1" applyAlignment="1">
      <alignment vertical="top" wrapText="1"/>
    </xf>
    <xf numFmtId="49" fontId="21" fillId="0" borderId="10" xfId="0" applyNumberFormat="1" applyFont="1" applyBorder="1" applyAlignment="1">
      <alignment vertical="center" wrapText="1"/>
    </xf>
    <xf numFmtId="0" fontId="21" fillId="0" borderId="10" xfId="0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vertical="center" wrapText="1"/>
    </xf>
    <xf numFmtId="0" fontId="21" fillId="0" borderId="13" xfId="0" quotePrefix="1" applyNumberFormat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vertical="center" wrapText="1"/>
    </xf>
    <xf numFmtId="0" fontId="56" fillId="0" borderId="10" xfId="0" applyFont="1" applyBorder="1" applyAlignment="1">
      <alignment vertical="center" wrapText="1"/>
    </xf>
    <xf numFmtId="0" fontId="56" fillId="0" borderId="11" xfId="0" quotePrefix="1" applyFont="1" applyBorder="1" applyAlignment="1">
      <alignment vertical="center" wrapText="1"/>
    </xf>
    <xf numFmtId="0" fontId="39" fillId="24" borderId="10" xfId="0" applyFont="1" applyFill="1" applyBorder="1" applyAlignment="1">
      <alignment horizontal="centerContinuous" vertical="center"/>
    </xf>
    <xf numFmtId="0" fontId="39" fillId="24" borderId="10" xfId="0" applyFont="1" applyFill="1" applyBorder="1" applyAlignment="1">
      <alignment horizontal="centerContinuous" vertical="center" wrapText="1"/>
    </xf>
    <xf numFmtId="0" fontId="0" fillId="0" borderId="10" xfId="0" applyBorder="1" applyAlignment="1">
      <alignment horizontal="centerContinuous" vertical="center"/>
    </xf>
    <xf numFmtId="0" fontId="0" fillId="0" borderId="10" xfId="0" applyBorder="1" applyAlignment="1">
      <alignment horizontal="centerContinuous" vertical="center" wrapText="1"/>
    </xf>
    <xf numFmtId="49" fontId="39" fillId="24" borderId="10" xfId="0" applyNumberFormat="1" applyFont="1" applyFill="1" applyBorder="1" applyAlignment="1">
      <alignment horizontal="centerContinuous" vertical="center"/>
    </xf>
    <xf numFmtId="0" fontId="47" fillId="0" borderId="10" xfId="0" applyFont="1" applyBorder="1" applyAlignment="1">
      <alignment vertical="center" wrapText="1"/>
    </xf>
    <xf numFmtId="174" fontId="1" fillId="0" borderId="10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vertical="justify" wrapText="1"/>
    </xf>
    <xf numFmtId="0" fontId="1" fillId="0" borderId="11" xfId="0" quotePrefix="1" applyFont="1" applyBorder="1" applyAlignment="1">
      <alignment vertical="center" wrapText="1"/>
    </xf>
    <xf numFmtId="0" fontId="0" fillId="0" borderId="10" xfId="0" applyBorder="1" applyAlignment="1">
      <alignment horizontal="left" vertical="center" wrapText="1"/>
    </xf>
    <xf numFmtId="0" fontId="57" fillId="0" borderId="10" xfId="0" applyFont="1" applyBorder="1" applyAlignment="1">
      <alignment vertical="center" wrapText="1"/>
    </xf>
    <xf numFmtId="0" fontId="57" fillId="0" borderId="0" xfId="0" applyFont="1" applyAlignment="1">
      <alignment wrapText="1"/>
    </xf>
    <xf numFmtId="174" fontId="1" fillId="0" borderId="10" xfId="0" applyNumberFormat="1" applyFont="1" applyBorder="1" applyAlignment="1">
      <alignment horizontal="right" vertical="center"/>
    </xf>
    <xf numFmtId="0" fontId="36" fillId="0" borderId="0" xfId="68" applyFont="1"/>
    <xf numFmtId="0" fontId="50" fillId="0" borderId="0" xfId="68" applyFont="1"/>
    <xf numFmtId="0" fontId="45" fillId="0" borderId="0" xfId="68" applyFont="1" applyAlignment="1">
      <alignment horizontal="right"/>
    </xf>
    <xf numFmtId="0" fontId="21" fillId="0" borderId="0" xfId="68" applyAlignment="1">
      <alignment horizontal="right"/>
    </xf>
    <xf numFmtId="0" fontId="45" fillId="0" borderId="0" xfId="0" applyFont="1" applyFill="1" applyAlignment="1">
      <alignment horizontal="center" wrapText="1"/>
    </xf>
    <xf numFmtId="0" fontId="49" fillId="0" borderId="0" xfId="0" applyFont="1" applyFill="1" applyAlignment="1">
      <alignment wrapText="1"/>
    </xf>
    <xf numFmtId="0" fontId="59" fillId="0" borderId="0" xfId="0" applyFont="1"/>
    <xf numFmtId="0" fontId="36" fillId="0" borderId="0" xfId="68" applyFont="1" applyAlignment="1">
      <alignment horizontal="right" wrapText="1"/>
    </xf>
    <xf numFmtId="0" fontId="21" fillId="0" borderId="0" xfId="68" applyAlignment="1">
      <alignment horizontal="left" wrapText="1"/>
    </xf>
    <xf numFmtId="0" fontId="41" fillId="0" borderId="0" xfId="68" applyFont="1" applyAlignment="1">
      <alignment horizontal="center" wrapText="1"/>
    </xf>
    <xf numFmtId="0" fontId="49" fillId="0" borderId="0" xfId="68" applyFont="1" applyAlignment="1">
      <alignment wrapText="1"/>
    </xf>
    <xf numFmtId="0" fontId="21" fillId="0" borderId="0" xfId="68" applyAlignment="1">
      <alignment wrapText="1"/>
    </xf>
    <xf numFmtId="0" fontId="45" fillId="0" borderId="0" xfId="68" applyFont="1" applyAlignment="1"/>
    <xf numFmtId="0" fontId="50" fillId="0" borderId="14" xfId="68" applyFont="1" applyBorder="1" applyAlignment="1"/>
    <xf numFmtId="0" fontId="21" fillId="0" borderId="14" xfId="68" applyFont="1" applyBorder="1" applyAlignment="1"/>
    <xf numFmtId="0" fontId="62" fillId="0" borderId="10" xfId="68" applyNumberFormat="1" applyFont="1" applyFill="1" applyBorder="1" applyAlignment="1" applyProtection="1">
      <alignment horizontal="center" textRotation="90" wrapText="1"/>
    </xf>
    <xf numFmtId="0" fontId="62" fillId="0" borderId="10" xfId="68" applyNumberFormat="1" applyFont="1" applyFill="1" applyBorder="1" applyAlignment="1" applyProtection="1">
      <alignment horizontal="center" vertical="center" wrapText="1"/>
    </xf>
    <xf numFmtId="0" fontId="62" fillId="0" borderId="10" xfId="68" applyFont="1" applyBorder="1" applyAlignment="1">
      <alignment horizontal="center" vertical="center" wrapText="1"/>
    </xf>
    <xf numFmtId="0" fontId="62" fillId="0" borderId="10" xfId="68" applyFont="1" applyFill="1" applyBorder="1" applyAlignment="1">
      <alignment horizontal="center" vertical="center" wrapText="1"/>
    </xf>
    <xf numFmtId="0" fontId="21" fillId="0" borderId="10" xfId="68" applyBorder="1" applyAlignment="1">
      <alignment horizontal="center"/>
    </xf>
    <xf numFmtId="0" fontId="39" fillId="24" borderId="10" xfId="0" applyFont="1" applyFill="1" applyBorder="1" applyAlignment="1">
      <alignment horizontal="left" vertical="center"/>
    </xf>
    <xf numFmtId="0" fontId="39" fillId="24" borderId="10" xfId="0" applyFont="1" applyFill="1" applyBorder="1" applyAlignment="1">
      <alignment horizontal="left" vertical="center" wrapText="1"/>
    </xf>
    <xf numFmtId="1" fontId="21" fillId="0" borderId="0" xfId="68" applyNumberFormat="1"/>
    <xf numFmtId="49" fontId="39" fillId="24" borderId="10" xfId="0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174" fontId="36" fillId="0" borderId="10" xfId="0" applyNumberFormat="1" applyFont="1" applyBorder="1" applyAlignment="1">
      <alignment horizontal="right" vertical="center"/>
    </xf>
    <xf numFmtId="0" fontId="50" fillId="0" borderId="10" xfId="0" applyFont="1" applyBorder="1" applyAlignment="1">
      <alignment horizontal="left" vertical="center" wrapText="1"/>
    </xf>
    <xf numFmtId="49" fontId="36" fillId="0" borderId="10" xfId="0" applyNumberFormat="1" applyFont="1" applyBorder="1" applyAlignment="1">
      <alignment horizontal="center" vertical="center" wrapText="1"/>
    </xf>
    <xf numFmtId="0" fontId="36" fillId="0" borderId="10" xfId="0" applyFont="1" applyBorder="1" applyAlignment="1">
      <alignment vertical="center" wrapText="1"/>
    </xf>
    <xf numFmtId="0" fontId="54" fillId="24" borderId="10" xfId="0" applyFont="1" applyFill="1" applyBorder="1" applyAlignment="1">
      <alignment horizontal="center" vertical="center" wrapText="1"/>
    </xf>
    <xf numFmtId="0" fontId="54" fillId="24" borderId="11" xfId="0" applyFont="1" applyFill="1" applyBorder="1" applyAlignment="1">
      <alignment vertical="center"/>
    </xf>
    <xf numFmtId="0" fontId="54" fillId="24" borderId="12" xfId="0" applyFont="1" applyFill="1" applyBorder="1" applyAlignment="1">
      <alignment vertical="center" wrapText="1"/>
    </xf>
    <xf numFmtId="183" fontId="50" fillId="0" borderId="0" xfId="68" applyNumberFormat="1" applyFont="1" applyAlignment="1"/>
    <xf numFmtId="0" fontId="21" fillId="0" borderId="0" xfId="68" applyFont="1"/>
    <xf numFmtId="0" fontId="50" fillId="0" borderId="0" xfId="68" applyFont="1" applyAlignment="1">
      <alignment horizontal="center"/>
    </xf>
    <xf numFmtId="0" fontId="50" fillId="0" borderId="0" xfId="68" applyFont="1" applyBorder="1" applyAlignment="1">
      <alignment horizontal="left"/>
    </xf>
    <xf numFmtId="0" fontId="50" fillId="0" borderId="0" xfId="68" applyFont="1" applyAlignment="1">
      <alignment horizontal="left"/>
    </xf>
    <xf numFmtId="0" fontId="21" fillId="0" borderId="0" xfId="68" applyAlignment="1">
      <alignment horizontal="left"/>
    </xf>
    <xf numFmtId="171" fontId="1" fillId="0" borderId="10" xfId="84" applyFont="1" applyBorder="1" applyAlignment="1">
      <alignment horizontal="center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174" fontId="0" fillId="0" borderId="13" xfId="0" applyNumberFormat="1" applyBorder="1" applyAlignment="1">
      <alignment vertical="center"/>
    </xf>
    <xf numFmtId="0" fontId="63" fillId="0" borderId="10" xfId="0" applyFont="1" applyBorder="1" applyAlignment="1">
      <alignment wrapText="1"/>
    </xf>
    <xf numFmtId="171" fontId="39" fillId="24" borderId="10" xfId="84" applyFont="1" applyFill="1" applyBorder="1" applyAlignment="1"/>
    <xf numFmtId="171" fontId="1" fillId="0" borderId="10" xfId="84" applyFont="1" applyBorder="1" applyAlignment="1"/>
    <xf numFmtId="0" fontId="36" fillId="0" borderId="12" xfId="0" applyFont="1" applyBorder="1" applyAlignment="1">
      <alignment horizontal="left" vertical="center" wrapText="1"/>
    </xf>
    <xf numFmtId="174" fontId="0" fillId="0" borderId="10" xfId="0" applyNumberFormat="1" applyFill="1" applyBorder="1" applyAlignment="1">
      <alignment vertical="center"/>
    </xf>
    <xf numFmtId="174" fontId="0" fillId="0" borderId="10" xfId="0" applyNumberFormat="1" applyFill="1" applyBorder="1" applyAlignment="1">
      <alignment horizontal="right" vertical="center"/>
    </xf>
    <xf numFmtId="0" fontId="0" fillId="0" borderId="10" xfId="0" applyNumberFormat="1" applyBorder="1" applyAlignment="1">
      <alignment vertical="center" wrapText="1"/>
    </xf>
    <xf numFmtId="0" fontId="39" fillId="24" borderId="11" xfId="0" quotePrefix="1" applyFont="1" applyFill="1" applyBorder="1" applyAlignment="1">
      <alignment horizontal="centerContinuous" vertical="center" wrapText="1"/>
    </xf>
    <xf numFmtId="0" fontId="57" fillId="0" borderId="0" xfId="0" applyFont="1" applyAlignment="1">
      <alignment vertical="center" wrapText="1"/>
    </xf>
    <xf numFmtId="0" fontId="39" fillId="0" borderId="10" xfId="0" applyNumberFormat="1" applyFont="1" applyBorder="1" applyAlignment="1">
      <alignment vertical="center" wrapText="1"/>
    </xf>
    <xf numFmtId="0" fontId="39" fillId="0" borderId="10" xfId="0" applyFont="1" applyBorder="1" applyAlignment="1">
      <alignment horizontal="left" vertical="center" wrapText="1"/>
    </xf>
    <xf numFmtId="0" fontId="21" fillId="0" borderId="0" xfId="30" applyFont="1" applyAlignment="1" applyProtection="1">
      <alignment wrapText="1"/>
    </xf>
    <xf numFmtId="0" fontId="0" fillId="0" borderId="13" xfId="0" applyBorder="1" applyAlignment="1">
      <alignment horizontal="left" vertical="center" wrapText="1"/>
    </xf>
    <xf numFmtId="0" fontId="47" fillId="0" borderId="12" xfId="0" applyFont="1" applyBorder="1" applyAlignment="1">
      <alignment wrapText="1"/>
    </xf>
    <xf numFmtId="49" fontId="1" fillId="0" borderId="13" xfId="0" applyNumberFormat="1" applyFont="1" applyBorder="1" applyAlignment="1">
      <alignment vertical="center" wrapText="1"/>
    </xf>
    <xf numFmtId="0" fontId="47" fillId="0" borderId="15" xfId="0" applyFont="1" applyBorder="1" applyAlignment="1">
      <alignment wrapText="1"/>
    </xf>
    <xf numFmtId="171" fontId="1" fillId="0" borderId="12" xfId="84" applyFont="1" applyBorder="1" applyAlignment="1">
      <alignment horizontal="center"/>
    </xf>
    <xf numFmtId="0" fontId="39" fillId="24" borderId="10" xfId="0" quotePrefix="1" applyFont="1" applyFill="1" applyBorder="1" applyAlignment="1">
      <alignment horizontal="center" vertical="center" wrapText="1"/>
    </xf>
    <xf numFmtId="174" fontId="39" fillId="24" borderId="12" xfId="0" applyNumberFormat="1" applyFont="1" applyFill="1" applyBorder="1" applyAlignment="1">
      <alignment horizontal="center"/>
    </xf>
    <xf numFmtId="171" fontId="39" fillId="24" borderId="12" xfId="84" applyFont="1" applyFill="1" applyBorder="1" applyAlignment="1">
      <alignment horizontal="center"/>
    </xf>
    <xf numFmtId="0" fontId="0" fillId="0" borderId="15" xfId="0" quotePrefix="1" applyBorder="1" applyAlignment="1">
      <alignment vertical="center" wrapText="1"/>
    </xf>
    <xf numFmtId="0" fontId="50" fillId="0" borderId="10" xfId="0" quotePrefix="1" applyFont="1" applyBorder="1" applyAlignment="1">
      <alignment horizontal="center" vertical="center" wrapText="1"/>
    </xf>
    <xf numFmtId="0" fontId="50" fillId="0" borderId="10" xfId="0" quotePrefix="1" applyFont="1" applyBorder="1" applyAlignment="1">
      <alignment horizontal="left" vertical="center" wrapText="1"/>
    </xf>
    <xf numFmtId="0" fontId="57" fillId="0" borderId="10" xfId="0" applyFont="1" applyBorder="1" applyAlignment="1">
      <alignment wrapText="1"/>
    </xf>
    <xf numFmtId="0" fontId="63" fillId="0" borderId="0" xfId="0" applyFont="1" applyAlignment="1">
      <alignment wrapText="1"/>
    </xf>
    <xf numFmtId="2" fontId="0" fillId="0" borderId="0" xfId="0" applyNumberFormat="1"/>
    <xf numFmtId="0" fontId="4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3" fillId="0" borderId="0" xfId="0" applyFont="1" applyAlignment="1">
      <alignment horizontal="center" wrapText="1"/>
    </xf>
    <xf numFmtId="0" fontId="40" fillId="0" borderId="0" xfId="0" applyFont="1" applyAlignment="1">
      <alignment horizontal="center"/>
    </xf>
    <xf numFmtId="0" fontId="36" fillId="0" borderId="0" xfId="66" applyFont="1" applyAlignment="1">
      <alignment horizontal="left" wrapText="1"/>
    </xf>
    <xf numFmtId="0" fontId="37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0" fillId="24" borderId="10" xfId="0" applyFill="1" applyBorder="1" applyAlignment="1">
      <alignment horizontal="center" vertical="center" wrapText="1"/>
    </xf>
    <xf numFmtId="0" fontId="50" fillId="0" borderId="10" xfId="0" applyFont="1" applyBorder="1" applyAlignment="1">
      <alignment horizontal="center" vertical="center" wrapText="1"/>
    </xf>
    <xf numFmtId="0" fontId="52" fillId="0" borderId="0" xfId="0" applyFont="1" applyAlignment="1">
      <alignment horizontal="center" wrapText="1"/>
    </xf>
    <xf numFmtId="0" fontId="55" fillId="0" borderId="0" xfId="0" applyFont="1" applyAlignment="1">
      <alignment horizontal="center"/>
    </xf>
    <xf numFmtId="0" fontId="54" fillId="0" borderId="11" xfId="0" applyFont="1" applyBorder="1" applyAlignment="1">
      <alignment horizontal="center" vertical="center"/>
    </xf>
    <xf numFmtId="0" fontId="50" fillId="0" borderId="16" xfId="0" applyFont="1" applyBorder="1" applyAlignment="1"/>
    <xf numFmtId="0" fontId="50" fillId="0" borderId="12" xfId="0" applyFont="1" applyBorder="1" applyAlignment="1"/>
    <xf numFmtId="0" fontId="43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50" fillId="24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41" fillId="0" borderId="0" xfId="68" applyFont="1" applyAlignment="1">
      <alignment wrapText="1"/>
    </xf>
    <xf numFmtId="0" fontId="42" fillId="0" borderId="0" xfId="68" applyFont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41" fillId="0" borderId="0" xfId="68" applyFont="1" applyAlignment="1"/>
    <xf numFmtId="0" fontId="42" fillId="0" borderId="0" xfId="68" applyFont="1" applyAlignment="1"/>
    <xf numFmtId="0" fontId="60" fillId="0" borderId="0" xfId="68" quotePrefix="1" applyFont="1" applyBorder="1" applyAlignment="1">
      <alignment horizontal="left"/>
    </xf>
    <xf numFmtId="0" fontId="61" fillId="0" borderId="0" xfId="68" applyFont="1" applyAlignment="1">
      <alignment horizontal="left"/>
    </xf>
    <xf numFmtId="0" fontId="50" fillId="0" borderId="0" xfId="68" applyFont="1" applyBorder="1" applyAlignment="1"/>
    <xf numFmtId="0" fontId="21" fillId="0" borderId="0" xfId="68" applyFont="1" applyBorder="1" applyAlignment="1"/>
    <xf numFmtId="0" fontId="41" fillId="0" borderId="0" xfId="68" applyFont="1" applyAlignment="1">
      <alignment horizontal="center" wrapText="1"/>
    </xf>
    <xf numFmtId="0" fontId="49" fillId="0" borderId="0" xfId="68" applyFont="1" applyAlignment="1">
      <alignment wrapText="1"/>
    </xf>
    <xf numFmtId="0" fontId="21" fillId="0" borderId="0" xfId="68" applyAlignment="1">
      <alignment wrapText="1"/>
    </xf>
    <xf numFmtId="0" fontId="50" fillId="0" borderId="0" xfId="68" applyFont="1" applyAlignment="1">
      <alignment wrapText="1"/>
    </xf>
    <xf numFmtId="0" fontId="0" fillId="0" borderId="0" xfId="0" applyAlignment="1"/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51" fillId="0" borderId="10" xfId="0" applyFont="1" applyBorder="1" applyAlignment="1">
      <alignment horizontal="center"/>
    </xf>
    <xf numFmtId="0" fontId="0" fillId="0" borderId="0" xfId="0" applyAlignment="1">
      <alignment horizontal="right"/>
    </xf>
    <xf numFmtId="0" fontId="38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51" fillId="0" borderId="11" xfId="0" applyFont="1" applyBorder="1" applyAlignment="1">
      <alignment horizontal="center" vertical="center"/>
    </xf>
    <xf numFmtId="0" fontId="51" fillId="0" borderId="16" xfId="0" applyFont="1" applyBorder="1" applyAlignment="1">
      <alignment horizontal="center"/>
    </xf>
    <xf numFmtId="0" fontId="51" fillId="0" borderId="12" xfId="0" applyFont="1" applyBorder="1" applyAlignment="1">
      <alignment horizontal="center"/>
    </xf>
    <xf numFmtId="0" fontId="36" fillId="0" borderId="0" xfId="66" applyFont="1" applyAlignment="1">
      <alignment horizontal="right" wrapText="1"/>
    </xf>
    <xf numFmtId="0" fontId="36" fillId="0" borderId="0" xfId="68" applyFont="1" applyAlignment="1">
      <alignment horizontal="left" wrapText="1"/>
    </xf>
  </cellXfs>
  <cellStyles count="85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Ввод " xfId="27"/>
    <cellStyle name="Вывод" xfId="28"/>
    <cellStyle name="Вычисление" xfId="29"/>
    <cellStyle name="Гіперпосилання" xfId="30" builtinId="8"/>
    <cellStyle name="Добре" xfId="31"/>
    <cellStyle name="Заголовок 1" xfId="32" builtinId="16" customBuiltin="1"/>
    <cellStyle name="Заголовок 2" xfId="33" builtinId="17" customBuiltin="1"/>
    <cellStyle name="Заголовок 3" xfId="34" builtinId="18" customBuiltin="1"/>
    <cellStyle name="Заголовок 4" xfId="35" builtinId="19" customBuiltin="1"/>
    <cellStyle name="Звичайний" xfId="0" builtinId="0"/>
    <cellStyle name="Звичайний 10" xfId="36"/>
    <cellStyle name="Звичайний 11" xfId="37"/>
    <cellStyle name="Звичайний 12" xfId="38"/>
    <cellStyle name="Звичайний 13" xfId="39"/>
    <cellStyle name="Звичайний 14" xfId="40"/>
    <cellStyle name="Звичайний 15" xfId="41"/>
    <cellStyle name="Звичайний 16" xfId="42"/>
    <cellStyle name="Звичайний 17" xfId="43"/>
    <cellStyle name="Звичайний 18" xfId="44"/>
    <cellStyle name="Звичайний 19" xfId="45"/>
    <cellStyle name="Звичайний 2" xfId="46"/>
    <cellStyle name="Звичайний 20" xfId="47"/>
    <cellStyle name="Звичайний 21" xfId="48"/>
    <cellStyle name="Звичайний 22" xfId="49"/>
    <cellStyle name="Звичайний 3" xfId="50"/>
    <cellStyle name="Звичайний 4" xfId="51"/>
    <cellStyle name="Звичайний 5" xfId="52"/>
    <cellStyle name="Звичайний 6" xfId="53"/>
    <cellStyle name="Звичайний 7" xfId="54"/>
    <cellStyle name="Звичайний 8" xfId="55"/>
    <cellStyle name="Звичайний 9" xfId="56"/>
    <cellStyle name="Зв'язана клітинка" xfId="57"/>
    <cellStyle name="Итог" xfId="58"/>
    <cellStyle name="Контрольна клітинка" xfId="59"/>
    <cellStyle name="Контрольная ячейка" xfId="60"/>
    <cellStyle name="Назва" xfId="61"/>
    <cellStyle name="Название" xfId="62"/>
    <cellStyle name="Обчислення" xfId="63"/>
    <cellStyle name="Обычный 2" xfId="64"/>
    <cellStyle name="Обычный 3" xfId="65"/>
    <cellStyle name="Обычный_37  Додатки до бюджету на 2020 рік" xfId="66"/>
    <cellStyle name="Обычный_37  Додатки до бюджету на 2020 рік_Додатки до бюджету 2022" xfId="67"/>
    <cellStyle name="Обычный_37  Додатки до бюджету на 2020 рік_додатки про зміни до б-ту №    від 27.05.2021" xfId="68"/>
    <cellStyle name="Підсумок" xfId="69"/>
    <cellStyle name="Плохой" xfId="70"/>
    <cellStyle name="Поганий" xfId="71"/>
    <cellStyle name="Пояснение" xfId="72"/>
    <cellStyle name="Примечание" xfId="73"/>
    <cellStyle name="Примітка" xfId="74"/>
    <cellStyle name="Результат" xfId="75"/>
    <cellStyle name="Связанная ячейка" xfId="76"/>
    <cellStyle name="Середній" xfId="77"/>
    <cellStyle name="Стиль 1" xfId="78"/>
    <cellStyle name="Текст попередження" xfId="79"/>
    <cellStyle name="Текст пояснення" xfId="80"/>
    <cellStyle name="Текст предупреждения" xfId="81"/>
    <cellStyle name="Тысячи [0]_Розподіл (2)" xfId="82"/>
    <cellStyle name="Тысячи_Розподіл (2)" xfId="83"/>
    <cellStyle name="Фінансовий" xfId="8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79;&#1074;&#1110;&#1090;&#1080;\2009\2008\&#1052;&#1086;&#1080;%20&#1076;&#1086;&#1082;&#1091;&#1084;&#1077;&#1085;&#1090;&#1099;\&#1051;&#1077;&#1089;&#1103;%20&#1042;&#1086;&#1083;&#1086;&#1076;&#1080;&#1084;\&#1075;&#1072;&#1083;&#1103;\RFV\ZV\&#1060;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9;&#1074;&#1110;&#1090;&#1080;/2009/2008/&#1052;&#1086;&#1080;%20&#1076;&#1086;&#1082;&#1091;&#1084;&#1077;&#1085;&#1090;&#1099;/&#1051;&#1077;&#1089;&#1103;%20&#1042;&#1086;&#1083;&#1086;&#1076;&#1080;&#1084;/&#1075;&#1072;&#1083;&#1103;/RFV/ZV/&#1060;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5 на 1.09.2003"/>
      <sheetName val="ф7 на 1.08.2003"/>
      <sheetName val="ф9 на 1.11.2003 (2)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5 на 1.09.2003"/>
      <sheetName val="ф7 на 1.08.2003"/>
      <sheetName val="ф9 на 1.11.2003 (2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zakon.rada.gov.ua/rada/show/481/95-%D0%B2%D1%80" TargetMode="External"/><Relationship Id="rId2" Type="http://schemas.openxmlformats.org/officeDocument/2006/relationships/hyperlink" Target="https://zakon.rada.gov.ua/rada/show/2755-17" TargetMode="External"/><Relationship Id="rId1" Type="http://schemas.openxmlformats.org/officeDocument/2006/relationships/hyperlink" Target="https://zakon.rada.gov.ua/rada/show/2755-17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topLeftCell="A6" zoomScaleNormal="100" workbookViewId="0">
      <selection activeCell="D12" sqref="D12"/>
    </sheetView>
  </sheetViews>
  <sheetFormatPr defaultRowHeight="12.75" x14ac:dyDescent="0.2"/>
  <cols>
    <col min="1" max="1" width="9.85546875" customWidth="1"/>
    <col min="2" max="2" width="49.42578125" customWidth="1"/>
    <col min="3" max="6" width="15.7109375" customWidth="1"/>
  </cols>
  <sheetData>
    <row r="1" spans="1:16" x14ac:dyDescent="0.2">
      <c r="D1" t="s">
        <v>198</v>
      </c>
    </row>
    <row r="2" spans="1:16" ht="46.5" customHeight="1" x14ac:dyDescent="0.25">
      <c r="A2" s="1"/>
      <c r="D2" s="198" t="s">
        <v>487</v>
      </c>
      <c r="E2" s="198"/>
      <c r="F2" s="198"/>
      <c r="G2" s="30"/>
    </row>
    <row r="3" spans="1:16" x14ac:dyDescent="0.2">
      <c r="D3" t="s">
        <v>637</v>
      </c>
    </row>
    <row r="5" spans="1:16" ht="30.75" customHeight="1" x14ac:dyDescent="0.25">
      <c r="A5" s="196" t="s">
        <v>385</v>
      </c>
      <c r="B5" s="196"/>
      <c r="C5" s="196"/>
      <c r="D5" s="196"/>
      <c r="E5" s="196"/>
      <c r="F5" s="196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6.5" customHeight="1" x14ac:dyDescent="0.25">
      <c r="A6" s="199" t="s">
        <v>386</v>
      </c>
      <c r="B6" s="200"/>
      <c r="C6" s="200"/>
      <c r="D6" s="200"/>
      <c r="E6" s="200"/>
      <c r="F6" s="200"/>
    </row>
    <row r="7" spans="1:16" x14ac:dyDescent="0.2">
      <c r="A7" s="2" t="s">
        <v>621</v>
      </c>
    </row>
    <row r="8" spans="1:16" x14ac:dyDescent="0.2">
      <c r="A8" t="s">
        <v>622</v>
      </c>
      <c r="F8" s="3" t="s">
        <v>199</v>
      </c>
    </row>
    <row r="9" spans="1:16" x14ac:dyDescent="0.2">
      <c r="A9" s="195" t="s">
        <v>200</v>
      </c>
      <c r="B9" s="195" t="s">
        <v>201</v>
      </c>
      <c r="C9" s="201" t="s">
        <v>202</v>
      </c>
      <c r="D9" s="195" t="s">
        <v>628</v>
      </c>
      <c r="E9" s="195" t="s">
        <v>629</v>
      </c>
      <c r="F9" s="195"/>
    </row>
    <row r="10" spans="1:16" x14ac:dyDescent="0.2">
      <c r="A10" s="195"/>
      <c r="B10" s="195"/>
      <c r="C10" s="195"/>
      <c r="D10" s="195"/>
      <c r="E10" s="195" t="s">
        <v>631</v>
      </c>
      <c r="F10" s="194" t="s">
        <v>635</v>
      </c>
    </row>
    <row r="11" spans="1:16" x14ac:dyDescent="0.2">
      <c r="A11" s="195"/>
      <c r="B11" s="195"/>
      <c r="C11" s="195"/>
      <c r="D11" s="195"/>
      <c r="E11" s="195"/>
      <c r="F11" s="195"/>
    </row>
    <row r="12" spans="1:1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16" x14ac:dyDescent="0.2">
      <c r="A13" s="31" t="s">
        <v>203</v>
      </c>
      <c r="B13" s="31" t="s">
        <v>204</v>
      </c>
      <c r="C13" s="32">
        <f t="shared" ref="C13:C44" si="0">D13+E13</f>
        <v>261438403</v>
      </c>
      <c r="D13" s="40">
        <f>D14+D20+D28+D36+D57</f>
        <v>261289878</v>
      </c>
      <c r="E13" s="40">
        <f>E14+E20+E28+E36+E57</f>
        <v>148525</v>
      </c>
      <c r="F13" s="33">
        <f>F14+F20+F28+F36+F57</f>
        <v>0</v>
      </c>
    </row>
    <row r="14" spans="1:16" ht="25.5" x14ac:dyDescent="0.2">
      <c r="A14" s="31" t="s">
        <v>205</v>
      </c>
      <c r="B14" s="31" t="s">
        <v>206</v>
      </c>
      <c r="C14" s="32">
        <f t="shared" si="0"/>
        <v>163533657</v>
      </c>
      <c r="D14" s="40">
        <f>D15</f>
        <v>163533657</v>
      </c>
      <c r="E14" s="40">
        <v>0</v>
      </c>
      <c r="F14" s="33">
        <v>0</v>
      </c>
    </row>
    <row r="15" spans="1:16" x14ac:dyDescent="0.2">
      <c r="A15" s="31" t="s">
        <v>207</v>
      </c>
      <c r="B15" s="31" t="s">
        <v>208</v>
      </c>
      <c r="C15" s="32">
        <f t="shared" si="0"/>
        <v>163533657</v>
      </c>
      <c r="D15" s="40">
        <f>SUM(D16:D19)</f>
        <v>163533657</v>
      </c>
      <c r="E15" s="40">
        <v>0</v>
      </c>
      <c r="F15" s="33">
        <v>0</v>
      </c>
    </row>
    <row r="16" spans="1:16" ht="39.75" customHeight="1" x14ac:dyDescent="0.2">
      <c r="A16" s="13" t="s">
        <v>209</v>
      </c>
      <c r="B16" s="34" t="s">
        <v>210</v>
      </c>
      <c r="C16" s="35">
        <f t="shared" si="0"/>
        <v>137567255</v>
      </c>
      <c r="D16" s="173">
        <f>124500000+1276000+302400+25000+6026892+4750890+686073</f>
        <v>137567255</v>
      </c>
      <c r="E16" s="173">
        <v>0</v>
      </c>
      <c r="F16" s="36">
        <v>0</v>
      </c>
    </row>
    <row r="17" spans="1:6" ht="30.75" hidden="1" customHeight="1" x14ac:dyDescent="0.2">
      <c r="A17" s="13" t="s">
        <v>211</v>
      </c>
      <c r="B17" s="34" t="s">
        <v>212</v>
      </c>
      <c r="C17" s="35">
        <f t="shared" si="0"/>
        <v>16319493</v>
      </c>
      <c r="D17" s="173">
        <f>7500000+1330000+2235000+962800+832000+807500+1045813+774880+831500</f>
        <v>16319493</v>
      </c>
      <c r="E17" s="173">
        <v>0</v>
      </c>
      <c r="F17" s="36">
        <v>0</v>
      </c>
    </row>
    <row r="18" spans="1:6" ht="41.25" customHeight="1" x14ac:dyDescent="0.2">
      <c r="A18" s="13" t="s">
        <v>213</v>
      </c>
      <c r="B18" s="34" t="s">
        <v>214</v>
      </c>
      <c r="C18" s="35">
        <f t="shared" si="0"/>
        <v>7119100</v>
      </c>
      <c r="D18" s="173">
        <f>5100000+665600+198200+1155300</f>
        <v>7119100</v>
      </c>
      <c r="E18" s="173">
        <v>0</v>
      </c>
      <c r="F18" s="36">
        <v>0</v>
      </c>
    </row>
    <row r="19" spans="1:6" ht="38.25" hidden="1" x14ac:dyDescent="0.2">
      <c r="A19" s="13" t="s">
        <v>215</v>
      </c>
      <c r="B19" s="34" t="s">
        <v>216</v>
      </c>
      <c r="C19" s="35">
        <f t="shared" si="0"/>
        <v>2527809</v>
      </c>
      <c r="D19" s="173">
        <f>800000+424265+154000+1065894+83650</f>
        <v>2527809</v>
      </c>
      <c r="E19" s="173">
        <v>0</v>
      </c>
      <c r="F19" s="36">
        <v>0</v>
      </c>
    </row>
    <row r="20" spans="1:6" ht="25.5" x14ac:dyDescent="0.2">
      <c r="A20" s="31" t="s">
        <v>217</v>
      </c>
      <c r="B20" s="31" t="s">
        <v>218</v>
      </c>
      <c r="C20" s="32">
        <f t="shared" si="0"/>
        <v>956040</v>
      </c>
      <c r="D20" s="40">
        <f>D21+D24</f>
        <v>956040</v>
      </c>
      <c r="E20" s="40">
        <v>0</v>
      </c>
      <c r="F20" s="33">
        <v>0</v>
      </c>
    </row>
    <row r="21" spans="1:6" ht="25.5" x14ac:dyDescent="0.2">
      <c r="A21" s="31" t="s">
        <v>219</v>
      </c>
      <c r="B21" s="31" t="s">
        <v>220</v>
      </c>
      <c r="C21" s="32">
        <f t="shared" si="0"/>
        <v>394740</v>
      </c>
      <c r="D21" s="40">
        <f>SUM(D22:D23)</f>
        <v>394740</v>
      </c>
      <c r="E21" s="40">
        <v>0</v>
      </c>
      <c r="F21" s="33">
        <v>0</v>
      </c>
    </row>
    <row r="22" spans="1:6" ht="38.25" x14ac:dyDescent="0.2">
      <c r="A22" s="13" t="s">
        <v>221</v>
      </c>
      <c r="B22" s="13" t="s">
        <v>222</v>
      </c>
      <c r="C22" s="35">
        <f t="shared" si="0"/>
        <v>54740</v>
      </c>
      <c r="D22" s="173">
        <f>50000+4740</f>
        <v>54740</v>
      </c>
      <c r="E22" s="173">
        <v>0</v>
      </c>
      <c r="F22" s="36">
        <v>0</v>
      </c>
    </row>
    <row r="23" spans="1:6" ht="63.75" hidden="1" x14ac:dyDescent="0.2">
      <c r="A23" s="13" t="s">
        <v>223</v>
      </c>
      <c r="B23" s="13" t="s">
        <v>224</v>
      </c>
      <c r="C23" s="35">
        <f t="shared" si="0"/>
        <v>340000</v>
      </c>
      <c r="D23" s="173">
        <v>340000</v>
      </c>
      <c r="E23" s="173">
        <v>0</v>
      </c>
      <c r="F23" s="36">
        <v>0</v>
      </c>
    </row>
    <row r="24" spans="1:6" ht="25.5" hidden="1" x14ac:dyDescent="0.2">
      <c r="A24" s="31" t="s">
        <v>225</v>
      </c>
      <c r="B24" s="31" t="s">
        <v>226</v>
      </c>
      <c r="C24" s="32">
        <f t="shared" si="0"/>
        <v>561300</v>
      </c>
      <c r="D24" s="40">
        <f>SUM(D25:D27)</f>
        <v>561300</v>
      </c>
      <c r="E24" s="40">
        <v>0</v>
      </c>
      <c r="F24" s="33">
        <v>0</v>
      </c>
    </row>
    <row r="25" spans="1:6" ht="38.25" hidden="1" x14ac:dyDescent="0.2">
      <c r="A25" s="13" t="s">
        <v>227</v>
      </c>
      <c r="B25" s="13" t="s">
        <v>228</v>
      </c>
      <c r="C25" s="35">
        <f t="shared" si="0"/>
        <v>111300</v>
      </c>
      <c r="D25" s="173">
        <v>111300</v>
      </c>
      <c r="E25" s="173">
        <v>0</v>
      </c>
      <c r="F25" s="36">
        <v>0</v>
      </c>
    </row>
    <row r="26" spans="1:6" ht="25.5" hidden="1" x14ac:dyDescent="0.2">
      <c r="A26" s="13" t="s">
        <v>229</v>
      </c>
      <c r="B26" s="13" t="s">
        <v>231</v>
      </c>
      <c r="C26" s="35">
        <f t="shared" si="0"/>
        <v>100000</v>
      </c>
      <c r="D26" s="173">
        <v>100000</v>
      </c>
      <c r="E26" s="173">
        <v>0</v>
      </c>
      <c r="F26" s="36">
        <v>0</v>
      </c>
    </row>
    <row r="27" spans="1:6" ht="25.5" hidden="1" x14ac:dyDescent="0.2">
      <c r="A27" s="13" t="s">
        <v>232</v>
      </c>
      <c r="B27" s="13" t="s">
        <v>233</v>
      </c>
      <c r="C27" s="35">
        <f t="shared" si="0"/>
        <v>350000</v>
      </c>
      <c r="D27" s="173">
        <v>350000</v>
      </c>
      <c r="E27" s="173">
        <v>0</v>
      </c>
      <c r="F27" s="36">
        <v>0</v>
      </c>
    </row>
    <row r="28" spans="1:6" x14ac:dyDescent="0.2">
      <c r="A28" s="31" t="s">
        <v>234</v>
      </c>
      <c r="B28" s="31" t="s">
        <v>235</v>
      </c>
      <c r="C28" s="32">
        <f t="shared" si="0"/>
        <v>20059426</v>
      </c>
      <c r="D28" s="40">
        <f>D29+D31+D33</f>
        <v>20059426</v>
      </c>
      <c r="E28" s="40">
        <v>0</v>
      </c>
      <c r="F28" s="33">
        <v>0</v>
      </c>
    </row>
    <row r="29" spans="1:6" ht="25.5" x14ac:dyDescent="0.2">
      <c r="A29" s="31" t="s">
        <v>236</v>
      </c>
      <c r="B29" s="31" t="s">
        <v>237</v>
      </c>
      <c r="C29" s="32">
        <f t="shared" si="0"/>
        <v>3171520</v>
      </c>
      <c r="D29" s="40">
        <f>D30</f>
        <v>3171520</v>
      </c>
      <c r="E29" s="40">
        <v>0</v>
      </c>
      <c r="F29" s="33">
        <v>0</v>
      </c>
    </row>
    <row r="30" spans="1:6" x14ac:dyDescent="0.2">
      <c r="A30" s="13" t="s">
        <v>238</v>
      </c>
      <c r="B30" s="13" t="s">
        <v>239</v>
      </c>
      <c r="C30" s="35">
        <f t="shared" si="0"/>
        <v>3171520</v>
      </c>
      <c r="D30" s="173">
        <f>220300+188000+321751+292000+251700+460200+321869+433300+168500+513900</f>
        <v>3171520</v>
      </c>
      <c r="E30" s="173">
        <v>0</v>
      </c>
      <c r="F30" s="36">
        <v>0</v>
      </c>
    </row>
    <row r="31" spans="1:6" ht="30" customHeight="1" x14ac:dyDescent="0.2">
      <c r="A31" s="31" t="s">
        <v>240</v>
      </c>
      <c r="B31" s="31" t="s">
        <v>241</v>
      </c>
      <c r="C31" s="32">
        <f t="shared" si="0"/>
        <v>11790506</v>
      </c>
      <c r="D31" s="40">
        <f>D32</f>
        <v>11790506</v>
      </c>
      <c r="E31" s="40">
        <v>0</v>
      </c>
      <c r="F31" s="33">
        <v>0</v>
      </c>
    </row>
    <row r="32" spans="1:6" ht="16.5" customHeight="1" x14ac:dyDescent="0.2">
      <c r="A32" s="13" t="s">
        <v>242</v>
      </c>
      <c r="B32" s="13" t="s">
        <v>239</v>
      </c>
      <c r="C32" s="35">
        <f t="shared" si="0"/>
        <v>11790506</v>
      </c>
      <c r="D32" s="173">
        <f>4700000+1750000+1063400+756500+962500+728946+829160+1000000</f>
        <v>11790506</v>
      </c>
      <c r="E32" s="173">
        <v>0</v>
      </c>
      <c r="F32" s="36">
        <v>0</v>
      </c>
    </row>
    <row r="33" spans="1:6" ht="36.75" hidden="1" customHeight="1" x14ac:dyDescent="0.2">
      <c r="A33" s="31" t="s">
        <v>243</v>
      </c>
      <c r="B33" s="31" t="s">
        <v>244</v>
      </c>
      <c r="C33" s="32">
        <f t="shared" si="0"/>
        <v>5097400</v>
      </c>
      <c r="D33" s="40">
        <f>SUM(D34:D35)</f>
        <v>5097400</v>
      </c>
      <c r="E33" s="40">
        <v>0</v>
      </c>
      <c r="F33" s="33">
        <v>0</v>
      </c>
    </row>
    <row r="34" spans="1:6" ht="90" hidden="1" customHeight="1" x14ac:dyDescent="0.2">
      <c r="A34" s="13" t="s">
        <v>245</v>
      </c>
      <c r="B34" s="179" t="s">
        <v>615</v>
      </c>
      <c r="C34" s="32">
        <f t="shared" si="0"/>
        <v>2497400</v>
      </c>
      <c r="D34" s="173">
        <f>2000000+229800+54500+213100</f>
        <v>2497400</v>
      </c>
      <c r="E34" s="173"/>
      <c r="F34" s="36"/>
    </row>
    <row r="35" spans="1:6" ht="30" hidden="1" customHeight="1" x14ac:dyDescent="0.2">
      <c r="A35" s="13" t="s">
        <v>246</v>
      </c>
      <c r="B35" s="37" t="s">
        <v>247</v>
      </c>
      <c r="C35" s="32">
        <f t="shared" si="0"/>
        <v>2600000</v>
      </c>
      <c r="D35" s="173">
        <v>2600000</v>
      </c>
      <c r="E35" s="173"/>
      <c r="F35" s="36"/>
    </row>
    <row r="36" spans="1:6" ht="38.25" x14ac:dyDescent="0.2">
      <c r="A36" s="31" t="s">
        <v>248</v>
      </c>
      <c r="B36" s="31" t="s">
        <v>249</v>
      </c>
      <c r="C36" s="32">
        <f t="shared" si="0"/>
        <v>76740755</v>
      </c>
      <c r="D36" s="40">
        <f>D37+D48+D51+D53</f>
        <v>76740755</v>
      </c>
      <c r="E36" s="40">
        <v>0</v>
      </c>
      <c r="F36" s="33">
        <v>0</v>
      </c>
    </row>
    <row r="37" spans="1:6" x14ac:dyDescent="0.2">
      <c r="A37" s="31" t="s">
        <v>250</v>
      </c>
      <c r="B37" s="31" t="s">
        <v>251</v>
      </c>
      <c r="C37" s="32">
        <f t="shared" si="0"/>
        <v>32897631</v>
      </c>
      <c r="D37" s="40">
        <f>SUM(D38:D47)</f>
        <v>32897631</v>
      </c>
      <c r="E37" s="40">
        <v>0</v>
      </c>
      <c r="F37" s="33">
        <v>0</v>
      </c>
    </row>
    <row r="38" spans="1:6" ht="38.25" hidden="1" x14ac:dyDescent="0.2">
      <c r="A38" s="13" t="s">
        <v>252</v>
      </c>
      <c r="B38" s="13" t="s">
        <v>253</v>
      </c>
      <c r="C38" s="35">
        <f t="shared" si="0"/>
        <v>33553</v>
      </c>
      <c r="D38" s="173">
        <f>15500+10053+8000</f>
        <v>33553</v>
      </c>
      <c r="E38" s="173">
        <v>0</v>
      </c>
      <c r="F38" s="36">
        <v>0</v>
      </c>
    </row>
    <row r="39" spans="1:6" ht="38.25" x14ac:dyDescent="0.2">
      <c r="A39" s="13" t="s">
        <v>254</v>
      </c>
      <c r="B39" s="13" t="s">
        <v>256</v>
      </c>
      <c r="C39" s="35">
        <f t="shared" si="0"/>
        <v>825415</v>
      </c>
      <c r="D39" s="173">
        <f>200000+252585+245140+127690</f>
        <v>825415</v>
      </c>
      <c r="E39" s="173">
        <v>0</v>
      </c>
      <c r="F39" s="36">
        <v>0</v>
      </c>
    </row>
    <row r="40" spans="1:6" ht="38.25" x14ac:dyDescent="0.2">
      <c r="A40" s="13" t="s">
        <v>257</v>
      </c>
      <c r="B40" s="13" t="s">
        <v>258</v>
      </c>
      <c r="C40" s="35">
        <f t="shared" si="0"/>
        <v>3694793</v>
      </c>
      <c r="D40" s="173">
        <f>2600000+845933+248860</f>
        <v>3694793</v>
      </c>
      <c r="E40" s="173">
        <v>0</v>
      </c>
      <c r="F40" s="36">
        <v>0</v>
      </c>
    </row>
    <row r="41" spans="1:6" ht="42" hidden="1" customHeight="1" x14ac:dyDescent="0.2">
      <c r="A41" s="13" t="s">
        <v>259</v>
      </c>
      <c r="B41" s="13" t="s">
        <v>260</v>
      </c>
      <c r="C41" s="35">
        <f t="shared" si="0"/>
        <v>6000150</v>
      </c>
      <c r="D41" s="173">
        <f>5100000+881800+18350</f>
        <v>6000150</v>
      </c>
      <c r="E41" s="173">
        <v>0</v>
      </c>
      <c r="F41" s="36">
        <v>0</v>
      </c>
    </row>
    <row r="42" spans="1:6" ht="19.5" customHeight="1" x14ac:dyDescent="0.2">
      <c r="A42" s="13" t="s">
        <v>261</v>
      </c>
      <c r="B42" s="13" t="s">
        <v>262</v>
      </c>
      <c r="C42" s="35">
        <f t="shared" si="0"/>
        <v>4760277</v>
      </c>
      <c r="D42" s="173">
        <f>3600000+612200+66280+481797</f>
        <v>4760277</v>
      </c>
      <c r="E42" s="173">
        <v>0</v>
      </c>
      <c r="F42" s="36">
        <v>0</v>
      </c>
    </row>
    <row r="43" spans="1:6" ht="20.25" customHeight="1" x14ac:dyDescent="0.2">
      <c r="A43" s="13" t="s">
        <v>263</v>
      </c>
      <c r="B43" s="13" t="s">
        <v>264</v>
      </c>
      <c r="C43" s="35">
        <f t="shared" si="0"/>
        <v>14901634</v>
      </c>
      <c r="D43" s="173">
        <f>8098000+1814335+2108900+484600+1130699+765100+500000</f>
        <v>14901634</v>
      </c>
      <c r="E43" s="173">
        <v>0</v>
      </c>
      <c r="F43" s="36">
        <v>0</v>
      </c>
    </row>
    <row r="44" spans="1:6" x14ac:dyDescent="0.2">
      <c r="A44" s="13" t="s">
        <v>265</v>
      </c>
      <c r="B44" s="13" t="s">
        <v>266</v>
      </c>
      <c r="C44" s="35">
        <f t="shared" si="0"/>
        <v>1342060</v>
      </c>
      <c r="D44" s="173">
        <f>500000+676600+123990+41470</f>
        <v>1342060</v>
      </c>
      <c r="E44" s="173">
        <v>0</v>
      </c>
      <c r="F44" s="36">
        <v>0</v>
      </c>
    </row>
    <row r="45" spans="1:6" ht="24" hidden="1" customHeight="1" x14ac:dyDescent="0.2">
      <c r="A45" s="13" t="s">
        <v>267</v>
      </c>
      <c r="B45" s="13" t="s">
        <v>268</v>
      </c>
      <c r="C45" s="35">
        <f t="shared" ref="C45:C84" si="1">D45+E45</f>
        <v>1221000</v>
      </c>
      <c r="D45" s="173">
        <f>1100000+89700+31300</f>
        <v>1221000</v>
      </c>
      <c r="E45" s="173">
        <v>0</v>
      </c>
      <c r="F45" s="36">
        <v>0</v>
      </c>
    </row>
    <row r="46" spans="1:6" ht="24.75" customHeight="1" x14ac:dyDescent="0.2">
      <c r="A46" s="120">
        <v>18011000</v>
      </c>
      <c r="B46" s="13" t="s">
        <v>576</v>
      </c>
      <c r="C46" s="35">
        <f t="shared" si="1"/>
        <v>41666</v>
      </c>
      <c r="D46" s="173">
        <f>16666+25000</f>
        <v>41666</v>
      </c>
      <c r="E46" s="173"/>
      <c r="F46" s="36"/>
    </row>
    <row r="47" spans="1:6" x14ac:dyDescent="0.2">
      <c r="A47" s="13" t="s">
        <v>269</v>
      </c>
      <c r="B47" s="13" t="s">
        <v>270</v>
      </c>
      <c r="C47" s="35">
        <f t="shared" si="1"/>
        <v>77083</v>
      </c>
      <c r="D47" s="173">
        <f>25000+13583+7250+12500+18750</f>
        <v>77083</v>
      </c>
      <c r="E47" s="173">
        <v>0</v>
      </c>
      <c r="F47" s="36">
        <v>0</v>
      </c>
    </row>
    <row r="48" spans="1:6" ht="25.5" hidden="1" x14ac:dyDescent="0.2">
      <c r="A48" s="31" t="s">
        <v>271</v>
      </c>
      <c r="B48" s="31" t="s">
        <v>272</v>
      </c>
      <c r="C48" s="32">
        <f t="shared" si="1"/>
        <v>154000</v>
      </c>
      <c r="D48" s="40">
        <f>SUM(D49:D50)</f>
        <v>154000</v>
      </c>
      <c r="E48" s="40">
        <v>0</v>
      </c>
      <c r="F48" s="33">
        <v>0</v>
      </c>
    </row>
    <row r="49" spans="1:6" ht="25.5" hidden="1" x14ac:dyDescent="0.2">
      <c r="A49" s="13" t="s">
        <v>273</v>
      </c>
      <c r="B49" s="13" t="s">
        <v>274</v>
      </c>
      <c r="C49" s="35">
        <f t="shared" si="1"/>
        <v>109000</v>
      </c>
      <c r="D49" s="173">
        <v>109000</v>
      </c>
      <c r="E49" s="173">
        <v>0</v>
      </c>
      <c r="F49" s="36">
        <v>0</v>
      </c>
    </row>
    <row r="50" spans="1:6" ht="25.5" hidden="1" x14ac:dyDescent="0.2">
      <c r="A50" s="13" t="s">
        <v>275</v>
      </c>
      <c r="B50" s="13" t="s">
        <v>276</v>
      </c>
      <c r="C50" s="35">
        <f t="shared" si="1"/>
        <v>45000</v>
      </c>
      <c r="D50" s="173">
        <v>45000</v>
      </c>
      <c r="E50" s="173">
        <v>0</v>
      </c>
      <c r="F50" s="36">
        <v>0</v>
      </c>
    </row>
    <row r="51" spans="1:6" hidden="1" x14ac:dyDescent="0.2">
      <c r="A51" s="31" t="s">
        <v>277</v>
      </c>
      <c r="B51" s="31" t="s">
        <v>278</v>
      </c>
      <c r="C51" s="32">
        <f t="shared" si="1"/>
        <v>48600</v>
      </c>
      <c r="D51" s="40">
        <f>D52</f>
        <v>48600</v>
      </c>
      <c r="E51" s="40">
        <v>0</v>
      </c>
      <c r="F51" s="33">
        <v>0</v>
      </c>
    </row>
    <row r="52" spans="1:6" ht="24" hidden="1" customHeight="1" x14ac:dyDescent="0.2">
      <c r="A52" s="13" t="s">
        <v>279</v>
      </c>
      <c r="B52" s="13" t="s">
        <v>280</v>
      </c>
      <c r="C52" s="35">
        <f t="shared" si="1"/>
        <v>48600</v>
      </c>
      <c r="D52" s="173">
        <v>48600</v>
      </c>
      <c r="E52" s="173">
        <v>0</v>
      </c>
      <c r="F52" s="36">
        <v>0</v>
      </c>
    </row>
    <row r="53" spans="1:6" ht="21" hidden="1" customHeight="1" x14ac:dyDescent="0.2">
      <c r="A53" s="31" t="s">
        <v>281</v>
      </c>
      <c r="B53" s="31" t="s">
        <v>282</v>
      </c>
      <c r="C53" s="32">
        <f t="shared" si="1"/>
        <v>43640524</v>
      </c>
      <c r="D53" s="40">
        <f>SUM(D54:D56)</f>
        <v>43640524</v>
      </c>
      <c r="E53" s="40">
        <v>0</v>
      </c>
      <c r="F53" s="33">
        <v>0</v>
      </c>
    </row>
    <row r="54" spans="1:6" ht="21" hidden="1" customHeight="1" x14ac:dyDescent="0.2">
      <c r="A54" s="13" t="s">
        <v>283</v>
      </c>
      <c r="B54" s="13" t="s">
        <v>284</v>
      </c>
      <c r="C54" s="35">
        <f t="shared" si="1"/>
        <v>4299300</v>
      </c>
      <c r="D54" s="173">
        <f>3800000+499300</f>
        <v>4299300</v>
      </c>
      <c r="E54" s="173">
        <v>0</v>
      </c>
      <c r="F54" s="36">
        <v>0</v>
      </c>
    </row>
    <row r="55" spans="1:6" ht="21.75" hidden="1" customHeight="1" x14ac:dyDescent="0.2">
      <c r="A55" s="13" t="s">
        <v>285</v>
      </c>
      <c r="B55" s="13" t="s">
        <v>286</v>
      </c>
      <c r="C55" s="35">
        <f t="shared" si="1"/>
        <v>37541224</v>
      </c>
      <c r="D55" s="173">
        <f>32000000+1628970+1568100+644614+1699540</f>
        <v>37541224</v>
      </c>
      <c r="E55" s="173">
        <v>0</v>
      </c>
      <c r="F55" s="36">
        <v>0</v>
      </c>
    </row>
    <row r="56" spans="1:6" ht="53.25" hidden="1" customHeight="1" x14ac:dyDescent="0.2">
      <c r="A56" s="13" t="s">
        <v>287</v>
      </c>
      <c r="B56" s="13" t="s">
        <v>288</v>
      </c>
      <c r="C56" s="35">
        <f t="shared" si="1"/>
        <v>1800000</v>
      </c>
      <c r="D56" s="173">
        <v>1800000</v>
      </c>
      <c r="E56" s="173">
        <v>0</v>
      </c>
      <c r="F56" s="36">
        <v>0</v>
      </c>
    </row>
    <row r="57" spans="1:6" ht="25.5" hidden="1" customHeight="1" x14ac:dyDescent="0.2">
      <c r="A57" s="31" t="s">
        <v>289</v>
      </c>
      <c r="B57" s="31" t="s">
        <v>290</v>
      </c>
      <c r="C57" s="32">
        <f t="shared" si="1"/>
        <v>148525</v>
      </c>
      <c r="D57" s="40">
        <v>0</v>
      </c>
      <c r="E57" s="40">
        <f>E58</f>
        <v>148525</v>
      </c>
      <c r="F57" s="33">
        <v>0</v>
      </c>
    </row>
    <row r="58" spans="1:6" ht="22.5" hidden="1" customHeight="1" x14ac:dyDescent="0.2">
      <c r="A58" s="31" t="s">
        <v>291</v>
      </c>
      <c r="B58" s="31" t="s">
        <v>292</v>
      </c>
      <c r="C58" s="32">
        <f t="shared" si="1"/>
        <v>148525</v>
      </c>
      <c r="D58" s="40">
        <v>0</v>
      </c>
      <c r="E58" s="40">
        <f>SUM(E59:E61)</f>
        <v>148525</v>
      </c>
      <c r="F58" s="33">
        <v>0</v>
      </c>
    </row>
    <row r="59" spans="1:6" ht="50.25" hidden="1" customHeight="1" x14ac:dyDescent="0.2">
      <c r="A59" s="13" t="s">
        <v>293</v>
      </c>
      <c r="B59" s="13" t="s">
        <v>294</v>
      </c>
      <c r="C59" s="35">
        <f t="shared" si="1"/>
        <v>50000</v>
      </c>
      <c r="D59" s="173">
        <v>0</v>
      </c>
      <c r="E59" s="173">
        <f>50000</f>
        <v>50000</v>
      </c>
      <c r="F59" s="36">
        <v>0</v>
      </c>
    </row>
    <row r="60" spans="1:6" ht="31.5" hidden="1" customHeight="1" x14ac:dyDescent="0.2">
      <c r="A60" s="13" t="s">
        <v>295</v>
      </c>
      <c r="B60" s="13" t="s">
        <v>296</v>
      </c>
      <c r="C60" s="35">
        <f t="shared" si="1"/>
        <v>98337</v>
      </c>
      <c r="D60" s="173">
        <v>0</v>
      </c>
      <c r="E60" s="173">
        <f>80000+18337</f>
        <v>98337</v>
      </c>
      <c r="F60" s="36">
        <v>0</v>
      </c>
    </row>
    <row r="61" spans="1:6" ht="53.25" hidden="1" customHeight="1" x14ac:dyDescent="0.2">
      <c r="A61" s="120">
        <v>19010300</v>
      </c>
      <c r="B61" s="13" t="s">
        <v>483</v>
      </c>
      <c r="C61" s="35"/>
      <c r="D61" s="173"/>
      <c r="E61" s="173">
        <v>188</v>
      </c>
      <c r="F61" s="36"/>
    </row>
    <row r="62" spans="1:6" x14ac:dyDescent="0.2">
      <c r="A62" s="31" t="s">
        <v>297</v>
      </c>
      <c r="B62" s="31" t="s">
        <v>298</v>
      </c>
      <c r="C62" s="32">
        <f t="shared" si="1"/>
        <v>18649444</v>
      </c>
      <c r="D62" s="40">
        <f>D63+D73+D86+D90</f>
        <v>6293429</v>
      </c>
      <c r="E62" s="40">
        <f>E63+E73+E86+E90</f>
        <v>12356015</v>
      </c>
      <c r="F62" s="33">
        <f>F63+F73+F86+F90</f>
        <v>0</v>
      </c>
    </row>
    <row r="63" spans="1:6" ht="25.5" x14ac:dyDescent="0.2">
      <c r="A63" s="31" t="s">
        <v>299</v>
      </c>
      <c r="B63" s="31" t="s">
        <v>300</v>
      </c>
      <c r="C63" s="32">
        <f t="shared" si="1"/>
        <v>402683</v>
      </c>
      <c r="D63" s="40">
        <f>D66+D64</f>
        <v>338495</v>
      </c>
      <c r="E63" s="40">
        <f>E66+E72</f>
        <v>64188</v>
      </c>
      <c r="F63" s="33">
        <v>0</v>
      </c>
    </row>
    <row r="64" spans="1:6" ht="89.25" hidden="1" x14ac:dyDescent="0.2">
      <c r="A64" s="178">
        <v>21010000</v>
      </c>
      <c r="B64" s="177" t="s">
        <v>596</v>
      </c>
      <c r="C64" s="32">
        <f t="shared" si="1"/>
        <v>1100</v>
      </c>
      <c r="D64" s="40">
        <f>D65</f>
        <v>1100</v>
      </c>
      <c r="E64" s="40"/>
      <c r="F64" s="33"/>
    </row>
    <row r="65" spans="1:6" ht="43.5" hidden="1" customHeight="1" x14ac:dyDescent="0.2">
      <c r="A65" s="41">
        <v>21010300</v>
      </c>
      <c r="B65" s="99" t="s">
        <v>597</v>
      </c>
      <c r="C65" s="42">
        <f t="shared" si="1"/>
        <v>1100</v>
      </c>
      <c r="D65" s="117">
        <f>620+480</f>
        <v>1100</v>
      </c>
      <c r="E65" s="40"/>
      <c r="F65" s="33"/>
    </row>
    <row r="66" spans="1:6" ht="21" customHeight="1" x14ac:dyDescent="0.2">
      <c r="A66" s="31" t="s">
        <v>301</v>
      </c>
      <c r="B66" s="31" t="s">
        <v>302</v>
      </c>
      <c r="C66" s="32">
        <f t="shared" si="1"/>
        <v>337395</v>
      </c>
      <c r="D66" s="40">
        <f>SUM(D67:D71)</f>
        <v>337395</v>
      </c>
      <c r="E66" s="40">
        <v>0</v>
      </c>
      <c r="F66" s="33">
        <v>0</v>
      </c>
    </row>
    <row r="67" spans="1:6" ht="63" hidden="1" customHeight="1" x14ac:dyDescent="0.2">
      <c r="A67" s="41">
        <v>21080900</v>
      </c>
      <c r="B67" s="99" t="s">
        <v>577</v>
      </c>
      <c r="C67" s="35">
        <f t="shared" si="1"/>
        <v>19100</v>
      </c>
      <c r="D67" s="117">
        <f>6000+2000+2000+2000+7100</f>
        <v>19100</v>
      </c>
      <c r="E67" s="40"/>
      <c r="F67" s="33"/>
    </row>
    <row r="68" spans="1:6" ht="27" hidden="1" customHeight="1" x14ac:dyDescent="0.2">
      <c r="A68" s="13" t="s">
        <v>303</v>
      </c>
      <c r="B68" s="13" t="s">
        <v>304</v>
      </c>
      <c r="C68" s="35">
        <f t="shared" si="1"/>
        <v>115000</v>
      </c>
      <c r="D68" s="173">
        <v>115000</v>
      </c>
      <c r="E68" s="173">
        <v>0</v>
      </c>
      <c r="F68" s="36">
        <v>0</v>
      </c>
    </row>
    <row r="69" spans="1:6" ht="78.75" hidden="1" customHeight="1" x14ac:dyDescent="0.2">
      <c r="A69" s="13" t="s">
        <v>305</v>
      </c>
      <c r="B69" s="37" t="s">
        <v>616</v>
      </c>
      <c r="C69" s="35">
        <f t="shared" si="1"/>
        <v>66000</v>
      </c>
      <c r="D69" s="173">
        <f>40000+21000+2000+3000</f>
        <v>66000</v>
      </c>
      <c r="E69" s="173">
        <v>0</v>
      </c>
      <c r="F69" s="36">
        <v>0</v>
      </c>
    </row>
    <row r="70" spans="1:6" ht="19.5" customHeight="1" x14ac:dyDescent="0.2">
      <c r="A70" s="13" t="s">
        <v>306</v>
      </c>
      <c r="B70" s="13" t="s">
        <v>307</v>
      </c>
      <c r="C70" s="35">
        <f t="shared" si="1"/>
        <v>15401</v>
      </c>
      <c r="D70" s="173">
        <f>5000+1002+1100+3163+5136</f>
        <v>15401</v>
      </c>
      <c r="E70" s="173">
        <v>0</v>
      </c>
      <c r="F70" s="36">
        <v>0</v>
      </c>
    </row>
    <row r="71" spans="1:6" ht="45.75" customHeight="1" x14ac:dyDescent="0.2">
      <c r="A71" s="120">
        <v>21081800</v>
      </c>
      <c r="B71" s="13" t="s">
        <v>574</v>
      </c>
      <c r="C71" s="35">
        <f t="shared" si="1"/>
        <v>121894</v>
      </c>
      <c r="D71" s="173">
        <f>58000+63894</f>
        <v>121894</v>
      </c>
      <c r="E71" s="173"/>
      <c r="F71" s="36"/>
    </row>
    <row r="72" spans="1:6" ht="45" hidden="1" customHeight="1" x14ac:dyDescent="0.25">
      <c r="A72" s="38" t="s">
        <v>308</v>
      </c>
      <c r="B72" s="39" t="s">
        <v>309</v>
      </c>
      <c r="C72" s="35">
        <f t="shared" si="1"/>
        <v>64188</v>
      </c>
      <c r="D72" s="173"/>
      <c r="E72" s="173">
        <f>310000-245812</f>
        <v>64188</v>
      </c>
      <c r="F72" s="36"/>
    </row>
    <row r="73" spans="1:6" ht="25.5" hidden="1" x14ac:dyDescent="0.2">
      <c r="A73" s="31" t="s">
        <v>310</v>
      </c>
      <c r="B73" s="31" t="s">
        <v>311</v>
      </c>
      <c r="C73" s="32">
        <f t="shared" si="1"/>
        <v>4650736</v>
      </c>
      <c r="D73" s="40">
        <f>D74+D80+D82+D85</f>
        <v>4650736</v>
      </c>
      <c r="E73" s="40">
        <v>0</v>
      </c>
      <c r="F73" s="33">
        <v>0</v>
      </c>
    </row>
    <row r="74" spans="1:6" hidden="1" x14ac:dyDescent="0.2">
      <c r="A74" s="31" t="s">
        <v>312</v>
      </c>
      <c r="B74" s="31" t="s">
        <v>313</v>
      </c>
      <c r="C74" s="32">
        <f t="shared" si="1"/>
        <v>3166956</v>
      </c>
      <c r="D74" s="40">
        <f>SUM(D75:D79)</f>
        <v>3166956</v>
      </c>
      <c r="E74" s="40">
        <v>0</v>
      </c>
      <c r="F74" s="33">
        <v>0</v>
      </c>
    </row>
    <row r="75" spans="1:6" ht="56.25" hidden="1" customHeight="1" x14ac:dyDescent="0.2">
      <c r="A75" s="41">
        <v>22010200</v>
      </c>
      <c r="B75" s="99" t="s">
        <v>612</v>
      </c>
      <c r="C75" s="35">
        <f t="shared" si="1"/>
        <v>24692</v>
      </c>
      <c r="D75" s="117">
        <f>12346+12346</f>
        <v>24692</v>
      </c>
      <c r="E75" s="40"/>
      <c r="F75" s="33"/>
    </row>
    <row r="76" spans="1:6" ht="38.25" hidden="1" x14ac:dyDescent="0.2">
      <c r="A76" s="13" t="s">
        <v>314</v>
      </c>
      <c r="B76" s="13" t="s">
        <v>315</v>
      </c>
      <c r="C76" s="35">
        <f t="shared" si="1"/>
        <v>140114</v>
      </c>
      <c r="D76" s="173">
        <f>113000+27114</f>
        <v>140114</v>
      </c>
      <c r="E76" s="173">
        <v>0</v>
      </c>
      <c r="F76" s="36">
        <v>0</v>
      </c>
    </row>
    <row r="77" spans="1:6" hidden="1" x14ac:dyDescent="0.2">
      <c r="A77" s="13" t="s">
        <v>316</v>
      </c>
      <c r="B77" s="13" t="s">
        <v>317</v>
      </c>
      <c r="C77" s="35">
        <f t="shared" si="1"/>
        <v>2400000</v>
      </c>
      <c r="D77" s="173">
        <v>2400000</v>
      </c>
      <c r="E77" s="173">
        <v>0</v>
      </c>
      <c r="F77" s="36">
        <v>0</v>
      </c>
    </row>
    <row r="78" spans="1:6" ht="25.5" hidden="1" x14ac:dyDescent="0.2">
      <c r="A78" s="13" t="s">
        <v>318</v>
      </c>
      <c r="B78" s="13" t="s">
        <v>319</v>
      </c>
      <c r="C78" s="35">
        <f t="shared" si="1"/>
        <v>600000</v>
      </c>
      <c r="D78" s="173">
        <v>600000</v>
      </c>
      <c r="E78" s="173">
        <v>0</v>
      </c>
      <c r="F78" s="36">
        <v>0</v>
      </c>
    </row>
    <row r="79" spans="1:6" ht="85.5" hidden="1" customHeight="1" x14ac:dyDescent="0.2">
      <c r="A79" s="120">
        <v>22012900</v>
      </c>
      <c r="B79" s="174" t="s">
        <v>598</v>
      </c>
      <c r="C79" s="35">
        <f t="shared" si="1"/>
        <v>2150</v>
      </c>
      <c r="D79" s="173">
        <f>1610+540</f>
        <v>2150</v>
      </c>
      <c r="E79" s="173"/>
      <c r="F79" s="36"/>
    </row>
    <row r="80" spans="1:6" ht="38.25" hidden="1" x14ac:dyDescent="0.2">
      <c r="A80" s="31" t="s">
        <v>320</v>
      </c>
      <c r="B80" s="31" t="s">
        <v>321</v>
      </c>
      <c r="C80" s="32">
        <f t="shared" si="1"/>
        <v>1251171</v>
      </c>
      <c r="D80" s="40">
        <f>D81</f>
        <v>1251171</v>
      </c>
      <c r="E80" s="40">
        <v>0</v>
      </c>
      <c r="F80" s="33">
        <v>0</v>
      </c>
    </row>
    <row r="81" spans="1:6" ht="38.25" hidden="1" x14ac:dyDescent="0.2">
      <c r="A81" s="13" t="s">
        <v>322</v>
      </c>
      <c r="B81" s="13" t="s">
        <v>323</v>
      </c>
      <c r="C81" s="35">
        <f t="shared" si="1"/>
        <v>1251171</v>
      </c>
      <c r="D81" s="173">
        <f>1000000+194100+23540+33531</f>
        <v>1251171</v>
      </c>
      <c r="E81" s="173">
        <v>0</v>
      </c>
      <c r="F81" s="36">
        <v>0</v>
      </c>
    </row>
    <row r="82" spans="1:6" ht="16.5" hidden="1" customHeight="1" x14ac:dyDescent="0.2">
      <c r="A82" s="31" t="s">
        <v>324</v>
      </c>
      <c r="B82" s="31" t="s">
        <v>325</v>
      </c>
      <c r="C82" s="32">
        <f t="shared" si="1"/>
        <v>230909</v>
      </c>
      <c r="D82" s="40">
        <f>SUM(D83:D84)</f>
        <v>230909</v>
      </c>
      <c r="E82" s="40">
        <v>0</v>
      </c>
      <c r="F82" s="33">
        <v>0</v>
      </c>
    </row>
    <row r="83" spans="1:6" ht="38.25" hidden="1" x14ac:dyDescent="0.2">
      <c r="A83" s="13" t="s">
        <v>326</v>
      </c>
      <c r="B83" s="24" t="s">
        <v>327</v>
      </c>
      <c r="C83" s="35">
        <f t="shared" si="1"/>
        <v>218909</v>
      </c>
      <c r="D83" s="173">
        <f>60000+85000+1659+4500+46550+21200</f>
        <v>218909</v>
      </c>
      <c r="E83" s="173">
        <v>0</v>
      </c>
      <c r="F83" s="36">
        <v>0</v>
      </c>
    </row>
    <row r="84" spans="1:6" ht="38.25" hidden="1" x14ac:dyDescent="0.2">
      <c r="A84" s="13" t="s">
        <v>328</v>
      </c>
      <c r="B84" s="24" t="s">
        <v>329</v>
      </c>
      <c r="C84" s="35">
        <f t="shared" si="1"/>
        <v>12000</v>
      </c>
      <c r="D84" s="173">
        <v>12000</v>
      </c>
      <c r="E84" s="173">
        <v>0</v>
      </c>
      <c r="F84" s="36">
        <v>0</v>
      </c>
    </row>
    <row r="85" spans="1:6" ht="69" hidden="1" customHeight="1" x14ac:dyDescent="0.2">
      <c r="A85" s="13" t="s">
        <v>330</v>
      </c>
      <c r="B85" s="25" t="s">
        <v>331</v>
      </c>
      <c r="C85" s="35">
        <f t="shared" ref="C85:C119" si="2">D85+E85</f>
        <v>1700</v>
      </c>
      <c r="D85" s="173">
        <v>1700</v>
      </c>
      <c r="E85" s="173"/>
      <c r="F85" s="36"/>
    </row>
    <row r="86" spans="1:6" hidden="1" x14ac:dyDescent="0.2">
      <c r="A86" s="31" t="s">
        <v>332</v>
      </c>
      <c r="B86" s="31" t="s">
        <v>333</v>
      </c>
      <c r="C86" s="32">
        <f t="shared" si="2"/>
        <v>1432675</v>
      </c>
      <c r="D86" s="40">
        <f>D87</f>
        <v>1304198</v>
      </c>
      <c r="E86" s="40">
        <f>E87</f>
        <v>128477</v>
      </c>
      <c r="F86" s="33">
        <v>0</v>
      </c>
    </row>
    <row r="87" spans="1:6" ht="12" hidden="1" customHeight="1" x14ac:dyDescent="0.2">
      <c r="A87" s="31" t="s">
        <v>334</v>
      </c>
      <c r="B87" s="31" t="s">
        <v>302</v>
      </c>
      <c r="C87" s="32">
        <f t="shared" si="2"/>
        <v>1432675</v>
      </c>
      <c r="D87" s="40">
        <f>D88</f>
        <v>1304198</v>
      </c>
      <c r="E87" s="40">
        <f>SUM(E88:E89)</f>
        <v>128477</v>
      </c>
      <c r="F87" s="33">
        <v>0</v>
      </c>
    </row>
    <row r="88" spans="1:6" hidden="1" x14ac:dyDescent="0.2">
      <c r="A88" s="13" t="s">
        <v>335</v>
      </c>
      <c r="B88" s="13" t="s">
        <v>302</v>
      </c>
      <c r="C88" s="35">
        <f t="shared" si="2"/>
        <v>1304198</v>
      </c>
      <c r="D88" s="173">
        <f>40000+1099945+85953+38500+39800</f>
        <v>1304198</v>
      </c>
      <c r="E88" s="173">
        <v>0</v>
      </c>
      <c r="F88" s="36">
        <v>0</v>
      </c>
    </row>
    <row r="89" spans="1:6" ht="51" hidden="1" x14ac:dyDescent="0.2">
      <c r="A89" s="120">
        <v>24062100</v>
      </c>
      <c r="B89" s="14" t="s">
        <v>454</v>
      </c>
      <c r="C89" s="35">
        <f t="shared" si="2"/>
        <v>128477</v>
      </c>
      <c r="D89" s="173"/>
      <c r="E89" s="173">
        <v>128477</v>
      </c>
      <c r="F89" s="36"/>
    </row>
    <row r="90" spans="1:6" hidden="1" x14ac:dyDescent="0.2">
      <c r="A90" s="31" t="s">
        <v>336</v>
      </c>
      <c r="B90" s="31" t="s">
        <v>337</v>
      </c>
      <c r="C90" s="32">
        <f t="shared" si="2"/>
        <v>12163350</v>
      </c>
      <c r="D90" s="33">
        <v>0</v>
      </c>
      <c r="E90" s="33">
        <f>E91+E93</f>
        <v>12163350</v>
      </c>
      <c r="F90" s="33">
        <v>0</v>
      </c>
    </row>
    <row r="91" spans="1:6" ht="31.5" hidden="1" customHeight="1" x14ac:dyDescent="0.2">
      <c r="A91" s="31" t="s">
        <v>338</v>
      </c>
      <c r="B91" s="31" t="s">
        <v>339</v>
      </c>
      <c r="C91" s="32">
        <f t="shared" si="2"/>
        <v>12113350</v>
      </c>
      <c r="D91" s="33">
        <v>0</v>
      </c>
      <c r="E91" s="33">
        <f>E92</f>
        <v>12113350</v>
      </c>
      <c r="F91" s="33">
        <v>0</v>
      </c>
    </row>
    <row r="92" spans="1:6" ht="25.5" hidden="1" x14ac:dyDescent="0.2">
      <c r="A92" s="13" t="s">
        <v>340</v>
      </c>
      <c r="B92" s="13" t="s">
        <v>341</v>
      </c>
      <c r="C92" s="35">
        <f t="shared" si="2"/>
        <v>12113350</v>
      </c>
      <c r="D92" s="36">
        <v>0</v>
      </c>
      <c r="E92" s="36">
        <v>12113350</v>
      </c>
      <c r="F92" s="36">
        <v>0</v>
      </c>
    </row>
    <row r="93" spans="1:6" ht="25.5" hidden="1" x14ac:dyDescent="0.2">
      <c r="A93" s="31" t="s">
        <v>342</v>
      </c>
      <c r="B93" s="31" t="s">
        <v>343</v>
      </c>
      <c r="C93" s="32">
        <f t="shared" si="2"/>
        <v>50000</v>
      </c>
      <c r="D93" s="33">
        <v>0</v>
      </c>
      <c r="E93" s="33">
        <f>E94</f>
        <v>50000</v>
      </c>
      <c r="F93" s="33">
        <f>F94</f>
        <v>0</v>
      </c>
    </row>
    <row r="94" spans="1:6" hidden="1" x14ac:dyDescent="0.2">
      <c r="A94" s="13" t="s">
        <v>344</v>
      </c>
      <c r="B94" s="13" t="s">
        <v>345</v>
      </c>
      <c r="C94" s="35">
        <f t="shared" si="2"/>
        <v>50000</v>
      </c>
      <c r="D94" s="36">
        <v>0</v>
      </c>
      <c r="E94" s="36">
        <v>50000</v>
      </c>
      <c r="F94" s="36">
        <v>0</v>
      </c>
    </row>
    <row r="95" spans="1:6" hidden="1" x14ac:dyDescent="0.2">
      <c r="A95" s="31" t="s">
        <v>346</v>
      </c>
      <c r="B95" s="31" t="s">
        <v>347</v>
      </c>
      <c r="C95" s="32">
        <f t="shared" si="2"/>
        <v>12300900</v>
      </c>
      <c r="D95" s="40">
        <f>D96+D100</f>
        <v>900</v>
      </c>
      <c r="E95" s="40">
        <f>E96+E100</f>
        <v>12300000</v>
      </c>
      <c r="F95" s="40">
        <f>F96+F100</f>
        <v>12300000</v>
      </c>
    </row>
    <row r="96" spans="1:6" hidden="1" x14ac:dyDescent="0.2">
      <c r="A96" s="31" t="s">
        <v>348</v>
      </c>
      <c r="B96" s="31" t="s">
        <v>349</v>
      </c>
      <c r="C96" s="32">
        <f t="shared" si="2"/>
        <v>1000900</v>
      </c>
      <c r="D96" s="40">
        <f>D97+D99</f>
        <v>900</v>
      </c>
      <c r="E96" s="40">
        <f>E97+E99</f>
        <v>1000000</v>
      </c>
      <c r="F96" s="40">
        <f>F97+F99</f>
        <v>1000000</v>
      </c>
    </row>
    <row r="97" spans="1:6" ht="70.5" hidden="1" customHeight="1" x14ac:dyDescent="0.2">
      <c r="A97" s="31" t="s">
        <v>350</v>
      </c>
      <c r="B97" s="31" t="s">
        <v>351</v>
      </c>
      <c r="C97" s="32">
        <f t="shared" si="2"/>
        <v>900</v>
      </c>
      <c r="D97" s="40">
        <f>D98</f>
        <v>900</v>
      </c>
      <c r="E97" s="40">
        <v>0</v>
      </c>
      <c r="F97" s="40">
        <v>0</v>
      </c>
    </row>
    <row r="98" spans="1:6" ht="63.75" hidden="1" x14ac:dyDescent="0.2">
      <c r="A98" s="13" t="s">
        <v>352</v>
      </c>
      <c r="B98" s="13" t="s">
        <v>353</v>
      </c>
      <c r="C98" s="35">
        <f t="shared" si="2"/>
        <v>900</v>
      </c>
      <c r="D98" s="36">
        <v>900</v>
      </c>
      <c r="E98" s="36">
        <v>0</v>
      </c>
      <c r="F98" s="36">
        <v>0</v>
      </c>
    </row>
    <row r="99" spans="1:6" ht="38.25" hidden="1" x14ac:dyDescent="0.2">
      <c r="A99" s="13" t="s">
        <v>354</v>
      </c>
      <c r="B99" s="13" t="s">
        <v>355</v>
      </c>
      <c r="C99" s="35">
        <f t="shared" si="2"/>
        <v>1000000</v>
      </c>
      <c r="D99" s="36">
        <v>0</v>
      </c>
      <c r="E99" s="36">
        <v>1000000</v>
      </c>
      <c r="F99" s="36">
        <v>1000000</v>
      </c>
    </row>
    <row r="100" spans="1:6" ht="25.5" hidden="1" x14ac:dyDescent="0.2">
      <c r="A100" s="31" t="s">
        <v>356</v>
      </c>
      <c r="B100" s="31" t="s">
        <v>357</v>
      </c>
      <c r="C100" s="32">
        <f t="shared" si="2"/>
        <v>11300000</v>
      </c>
      <c r="D100" s="33">
        <v>0</v>
      </c>
      <c r="E100" s="33">
        <f>E101</f>
        <v>11300000</v>
      </c>
      <c r="F100" s="33">
        <f>F101</f>
        <v>11300000</v>
      </c>
    </row>
    <row r="101" spans="1:6" ht="22.5" hidden="1" customHeight="1" x14ac:dyDescent="0.2">
      <c r="A101" s="31" t="s">
        <v>358</v>
      </c>
      <c r="B101" s="31" t="s">
        <v>359</v>
      </c>
      <c r="C101" s="32">
        <f t="shared" si="2"/>
        <v>11300000</v>
      </c>
      <c r="D101" s="33">
        <v>0</v>
      </c>
      <c r="E101" s="33">
        <f>E102+E103</f>
        <v>11300000</v>
      </c>
      <c r="F101" s="33">
        <f>F102+F103</f>
        <v>11300000</v>
      </c>
    </row>
    <row r="102" spans="1:6" ht="66" hidden="1" customHeight="1" x14ac:dyDescent="0.2">
      <c r="A102" s="13" t="s">
        <v>360</v>
      </c>
      <c r="B102" s="13" t="s">
        <v>361</v>
      </c>
      <c r="C102" s="35">
        <f t="shared" si="2"/>
        <v>11090213</v>
      </c>
      <c r="D102" s="36">
        <v>0</v>
      </c>
      <c r="E102" s="36">
        <f>4871230+6218983</f>
        <v>11090213</v>
      </c>
      <c r="F102" s="36">
        <f>E102</f>
        <v>11090213</v>
      </c>
    </row>
    <row r="103" spans="1:6" ht="67.5" hidden="1" customHeight="1" x14ac:dyDescent="0.2">
      <c r="A103" s="13">
        <v>33010500</v>
      </c>
      <c r="B103" s="13" t="s">
        <v>362</v>
      </c>
      <c r="C103" s="35">
        <f t="shared" si="2"/>
        <v>209787</v>
      </c>
      <c r="D103" s="36"/>
      <c r="E103" s="36">
        <f>128770+81017</f>
        <v>209787</v>
      </c>
      <c r="F103" s="36">
        <f>E103</f>
        <v>209787</v>
      </c>
    </row>
    <row r="104" spans="1:6" ht="25.5" x14ac:dyDescent="0.2">
      <c r="A104" s="7"/>
      <c r="B104" s="7" t="s">
        <v>363</v>
      </c>
      <c r="C104" s="32">
        <f t="shared" si="2"/>
        <v>292388747</v>
      </c>
      <c r="D104" s="32">
        <f>D13+D62+D95</f>
        <v>267584207</v>
      </c>
      <c r="E104" s="32">
        <f>E13+E62+E95</f>
        <v>24804540</v>
      </c>
      <c r="F104" s="32">
        <f>F13+F62+F95</f>
        <v>12300000</v>
      </c>
    </row>
    <row r="105" spans="1:6" x14ac:dyDescent="0.2">
      <c r="A105" s="31" t="s">
        <v>364</v>
      </c>
      <c r="B105" s="31" t="s">
        <v>365</v>
      </c>
      <c r="C105" s="32">
        <f t="shared" si="2"/>
        <v>160657174.25999999</v>
      </c>
      <c r="D105" s="40">
        <f>D106</f>
        <v>149501418.25999999</v>
      </c>
      <c r="E105" s="33">
        <f>E106</f>
        <v>11155756</v>
      </c>
      <c r="F105" s="33">
        <f>F106</f>
        <v>11155756</v>
      </c>
    </row>
    <row r="106" spans="1:6" x14ac:dyDescent="0.2">
      <c r="A106" s="31" t="s">
        <v>366</v>
      </c>
      <c r="B106" s="31" t="s">
        <v>367</v>
      </c>
      <c r="C106" s="32">
        <f t="shared" si="2"/>
        <v>160657174.25999999</v>
      </c>
      <c r="D106" s="40">
        <f>D107+D109+D111+D113</f>
        <v>149501418.25999999</v>
      </c>
      <c r="E106" s="33">
        <f>E107+E109+E111+E113</f>
        <v>11155756</v>
      </c>
      <c r="F106" s="33">
        <f>F107+F109+F111+F113</f>
        <v>11155756</v>
      </c>
    </row>
    <row r="107" spans="1:6" ht="25.5" hidden="1" x14ac:dyDescent="0.2">
      <c r="A107" s="31" t="s">
        <v>368</v>
      </c>
      <c r="B107" s="31" t="s">
        <v>369</v>
      </c>
      <c r="C107" s="32">
        <f t="shared" si="2"/>
        <v>35338900</v>
      </c>
      <c r="D107" s="40">
        <f>D108</f>
        <v>35338900</v>
      </c>
      <c r="E107" s="33">
        <v>0</v>
      </c>
      <c r="F107" s="33">
        <v>0</v>
      </c>
    </row>
    <row r="108" spans="1:6" ht="14.25" hidden="1" customHeight="1" x14ac:dyDescent="0.2">
      <c r="A108" s="13" t="s">
        <v>370</v>
      </c>
      <c r="B108" s="13" t="s">
        <v>371</v>
      </c>
      <c r="C108" s="35">
        <f t="shared" si="2"/>
        <v>35338900</v>
      </c>
      <c r="D108" s="173">
        <v>35338900</v>
      </c>
      <c r="E108" s="36">
        <v>0</v>
      </c>
      <c r="F108" s="36">
        <v>0</v>
      </c>
    </row>
    <row r="109" spans="1:6" ht="34.5" hidden="1" customHeight="1" x14ac:dyDescent="0.2">
      <c r="A109" s="31" t="s">
        <v>372</v>
      </c>
      <c r="B109" s="31" t="s">
        <v>373</v>
      </c>
      <c r="C109" s="32">
        <f t="shared" si="2"/>
        <v>109673500</v>
      </c>
      <c r="D109" s="40">
        <f>D110</f>
        <v>109673500</v>
      </c>
      <c r="E109" s="33">
        <f>E110</f>
        <v>0</v>
      </c>
      <c r="F109" s="33">
        <f>F110</f>
        <v>0</v>
      </c>
    </row>
    <row r="110" spans="1:6" ht="36.75" hidden="1" customHeight="1" x14ac:dyDescent="0.2">
      <c r="A110" s="13" t="s">
        <v>374</v>
      </c>
      <c r="B110" s="13" t="s">
        <v>375</v>
      </c>
      <c r="C110" s="35">
        <f t="shared" si="2"/>
        <v>109673500</v>
      </c>
      <c r="D110" s="173">
        <v>109673500</v>
      </c>
      <c r="E110" s="36">
        <v>0</v>
      </c>
      <c r="F110" s="36">
        <v>0</v>
      </c>
    </row>
    <row r="111" spans="1:6" ht="26.25" hidden="1" customHeight="1" x14ac:dyDescent="0.2">
      <c r="A111" s="31" t="s">
        <v>376</v>
      </c>
      <c r="B111" s="31" t="s">
        <v>377</v>
      </c>
      <c r="C111" s="32">
        <f t="shared" si="2"/>
        <v>587177</v>
      </c>
      <c r="D111" s="40">
        <f>D112</f>
        <v>587177</v>
      </c>
      <c r="E111" s="33">
        <v>0</v>
      </c>
      <c r="F111" s="33">
        <v>0</v>
      </c>
    </row>
    <row r="112" spans="1:6" ht="21.75" hidden="1" customHeight="1" x14ac:dyDescent="0.2">
      <c r="A112" s="120">
        <v>41040400</v>
      </c>
      <c r="B112" s="174" t="s">
        <v>593</v>
      </c>
      <c r="C112" s="35">
        <f t="shared" si="2"/>
        <v>587177</v>
      </c>
      <c r="D112" s="173">
        <f>231150+356027</f>
        <v>587177</v>
      </c>
      <c r="E112" s="36">
        <v>0</v>
      </c>
      <c r="F112" s="36">
        <v>0</v>
      </c>
    </row>
    <row r="113" spans="1:6" ht="26.25" hidden="1" customHeight="1" x14ac:dyDescent="0.2">
      <c r="A113" s="31" t="s">
        <v>378</v>
      </c>
      <c r="B113" s="31" t="s">
        <v>379</v>
      </c>
      <c r="C113" s="32">
        <f t="shared" si="2"/>
        <v>15057597.26</v>
      </c>
      <c r="D113" s="40">
        <f>SUM(D114:D119)</f>
        <v>3901841.26</v>
      </c>
      <c r="E113" s="33">
        <f>SUM(E114:E119)</f>
        <v>11155756</v>
      </c>
      <c r="F113" s="33">
        <f>SUM(F114:F119)</f>
        <v>11155756</v>
      </c>
    </row>
    <row r="114" spans="1:6" ht="21.75" hidden="1" customHeight="1" x14ac:dyDescent="0.2">
      <c r="A114" s="41">
        <v>41051000</v>
      </c>
      <c r="B114" s="13" t="s">
        <v>380</v>
      </c>
      <c r="C114" s="42">
        <f t="shared" si="2"/>
        <v>1495000</v>
      </c>
      <c r="D114" s="173">
        <v>1495000</v>
      </c>
      <c r="E114" s="33"/>
      <c r="F114" s="33"/>
    </row>
    <row r="115" spans="1:6" ht="28.5" hidden="1" customHeight="1" x14ac:dyDescent="0.2">
      <c r="A115" s="41">
        <v>41051200</v>
      </c>
      <c r="B115" s="13" t="s">
        <v>381</v>
      </c>
      <c r="C115" s="35">
        <f t="shared" si="2"/>
        <v>324000</v>
      </c>
      <c r="D115" s="173">
        <v>324000</v>
      </c>
      <c r="E115" s="33"/>
      <c r="F115" s="33"/>
    </row>
    <row r="116" spans="1:6" ht="19.5" hidden="1" customHeight="1" x14ac:dyDescent="0.2">
      <c r="A116" s="41">
        <v>41053400</v>
      </c>
      <c r="B116" s="13" t="s">
        <v>538</v>
      </c>
      <c r="C116" s="35">
        <f t="shared" si="2"/>
        <v>9456966</v>
      </c>
      <c r="D116" s="173"/>
      <c r="E116" s="123">
        <v>9456966</v>
      </c>
      <c r="F116" s="123">
        <f>E116</f>
        <v>9456966</v>
      </c>
    </row>
    <row r="117" spans="1:6" ht="23.25" customHeight="1" x14ac:dyDescent="0.2">
      <c r="A117" s="13" t="s">
        <v>382</v>
      </c>
      <c r="B117" s="13" t="s">
        <v>383</v>
      </c>
      <c r="C117" s="35">
        <f t="shared" si="2"/>
        <v>3003167.26</v>
      </c>
      <c r="D117" s="173">
        <f>650000+100000+24400+42295+97470+5000+80630+15000+8400+28000+220000+15000+18182.26</f>
        <v>1304377.26</v>
      </c>
      <c r="E117" s="36">
        <f>62790+1500000+136000</f>
        <v>1698790</v>
      </c>
      <c r="F117" s="36">
        <f>E117</f>
        <v>1698790</v>
      </c>
    </row>
    <row r="118" spans="1:6" ht="75.75" hidden="1" customHeight="1" x14ac:dyDescent="0.2">
      <c r="A118" s="120">
        <v>41057700</v>
      </c>
      <c r="B118" s="181" t="s">
        <v>587</v>
      </c>
      <c r="C118" s="35">
        <f t="shared" si="2"/>
        <v>78464</v>
      </c>
      <c r="D118" s="173">
        <v>78464</v>
      </c>
      <c r="E118" s="36"/>
      <c r="F118" s="36"/>
    </row>
    <row r="119" spans="1:6" ht="33.75" hidden="1" customHeight="1" x14ac:dyDescent="0.25">
      <c r="A119" s="180">
        <v>41059000</v>
      </c>
      <c r="B119" s="39" t="s">
        <v>599</v>
      </c>
      <c r="C119" s="35">
        <f t="shared" si="2"/>
        <v>700000</v>
      </c>
      <c r="D119" s="173">
        <v>700000</v>
      </c>
      <c r="E119" s="36"/>
      <c r="F119" s="36"/>
    </row>
    <row r="120" spans="1:6" x14ac:dyDescent="0.2">
      <c r="A120" s="23" t="s">
        <v>192</v>
      </c>
      <c r="B120" s="7" t="s">
        <v>384</v>
      </c>
      <c r="C120" s="32">
        <f>C13+C62+C95+C105</f>
        <v>453045921.25999999</v>
      </c>
      <c r="D120" s="32">
        <f>D13+D62+D95+D105</f>
        <v>417085625.25999999</v>
      </c>
      <c r="E120" s="32">
        <f>E13+E62+E95+E105</f>
        <v>35960296</v>
      </c>
      <c r="F120" s="32">
        <f>F13+F62+F95+F105</f>
        <v>23455756</v>
      </c>
    </row>
    <row r="121" spans="1:6" ht="10.5" customHeight="1" x14ac:dyDescent="0.2"/>
    <row r="122" spans="1:6" ht="10.5" customHeight="1" x14ac:dyDescent="0.2">
      <c r="A122" s="197"/>
      <c r="B122" s="197"/>
      <c r="C122" s="197"/>
      <c r="D122" s="197"/>
      <c r="E122" s="197"/>
      <c r="F122" s="197"/>
    </row>
    <row r="123" spans="1:6" ht="18.75" x14ac:dyDescent="0.3">
      <c r="A123" s="43" t="s">
        <v>490</v>
      </c>
      <c r="B123" s="43"/>
      <c r="C123" s="44"/>
      <c r="D123" s="45"/>
      <c r="E123" s="46" t="s">
        <v>491</v>
      </c>
    </row>
    <row r="124" spans="1:6" ht="11.25" customHeight="1" x14ac:dyDescent="0.2"/>
  </sheetData>
  <mergeCells count="11">
    <mergeCell ref="E10:E11"/>
    <mergeCell ref="F10:F11"/>
    <mergeCell ref="A5:F5"/>
    <mergeCell ref="A122:F122"/>
    <mergeCell ref="D2:F2"/>
    <mergeCell ref="A6:F6"/>
    <mergeCell ref="A9:A11"/>
    <mergeCell ref="B9:B11"/>
    <mergeCell ref="C9:C11"/>
    <mergeCell ref="D9:D11"/>
    <mergeCell ref="E9:F9"/>
  </mergeCells>
  <phoneticPr fontId="34" type="noConversion"/>
  <hyperlinks>
    <hyperlink ref="B35" r:id="rId1" location="n20318" display="https://zakon.rada.gov.ua/rada/show/2755-17 - n20318"/>
    <hyperlink ref="B34" r:id="rId2" location="n20318" display="https://zakon.rada.gov.ua/rada/show/2755-17 - n20318"/>
    <hyperlink ref="B69" r:id="rId3" display="https://zakon.rada.gov.ua/rada/show/481/95-%D0%B2%D1%80"/>
  </hyperlinks>
  <pageMargins left="0.69" right="0.26" top="0.39370078740157499" bottom="0.39370078740157499" header="0" footer="0"/>
  <pageSetup paperSize="9" scale="75" fitToHeight="500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E7" sqref="E7"/>
    </sheetView>
  </sheetViews>
  <sheetFormatPr defaultRowHeight="12.75" x14ac:dyDescent="0.2"/>
  <cols>
    <col min="1" max="1" width="11.28515625" customWidth="1"/>
    <col min="2" max="2" width="41" customWidth="1"/>
    <col min="3" max="6" width="15.7109375" customWidth="1"/>
  </cols>
  <sheetData>
    <row r="1" spans="1:6" x14ac:dyDescent="0.2">
      <c r="A1" s="78"/>
      <c r="B1" s="78"/>
      <c r="C1" s="78"/>
      <c r="D1" s="78" t="s">
        <v>529</v>
      </c>
      <c r="E1" s="78"/>
      <c r="F1" s="78"/>
    </row>
    <row r="2" spans="1:6" ht="48" customHeight="1" x14ac:dyDescent="0.25">
      <c r="A2" s="79"/>
      <c r="B2" s="78"/>
      <c r="C2" s="78"/>
      <c r="D2" s="198" t="s">
        <v>487</v>
      </c>
      <c r="E2" s="198"/>
      <c r="F2" s="198"/>
    </row>
    <row r="3" spans="1:6" x14ac:dyDescent="0.2">
      <c r="A3" s="78"/>
      <c r="B3" s="78"/>
      <c r="C3" s="78"/>
      <c r="D3" t="s">
        <v>637</v>
      </c>
      <c r="E3" s="78"/>
      <c r="F3" s="78"/>
    </row>
    <row r="4" spans="1:6" ht="42.75" customHeight="1" x14ac:dyDescent="0.2">
      <c r="A4" s="203" t="s">
        <v>446</v>
      </c>
      <c r="B4" s="203"/>
      <c r="C4" s="203"/>
      <c r="D4" s="203"/>
      <c r="E4" s="203"/>
      <c r="F4" s="203"/>
    </row>
    <row r="5" spans="1:6" ht="25.5" customHeight="1" x14ac:dyDescent="0.25">
      <c r="A5" s="208" t="s">
        <v>486</v>
      </c>
      <c r="B5" s="209"/>
      <c r="C5" s="209"/>
      <c r="D5" s="209"/>
      <c r="E5" s="209"/>
      <c r="F5" s="209"/>
    </row>
    <row r="6" spans="1:6" x14ac:dyDescent="0.2">
      <c r="A6" s="80" t="s">
        <v>621</v>
      </c>
      <c r="B6" s="78"/>
      <c r="C6" s="78"/>
      <c r="D6" s="78"/>
      <c r="E6" s="78"/>
      <c r="F6" s="78"/>
    </row>
    <row r="7" spans="1:6" x14ac:dyDescent="0.2">
      <c r="A7" s="78" t="s">
        <v>622</v>
      </c>
      <c r="B7" s="78"/>
      <c r="C7" s="78"/>
      <c r="D7" s="78"/>
      <c r="E7" s="78"/>
      <c r="F7" s="81" t="s">
        <v>199</v>
      </c>
    </row>
    <row r="8" spans="1:6" ht="12.75" customHeight="1" x14ac:dyDescent="0.2">
      <c r="A8" s="202" t="s">
        <v>200</v>
      </c>
      <c r="B8" s="202" t="s">
        <v>455</v>
      </c>
      <c r="C8" s="210" t="s">
        <v>202</v>
      </c>
      <c r="D8" s="202" t="s">
        <v>628</v>
      </c>
      <c r="E8" s="202" t="s">
        <v>629</v>
      </c>
      <c r="F8" s="202"/>
    </row>
    <row r="9" spans="1:6" ht="12.75" customHeight="1" x14ac:dyDescent="0.2">
      <c r="A9" s="202"/>
      <c r="B9" s="202"/>
      <c r="C9" s="202"/>
      <c r="D9" s="202"/>
      <c r="E9" s="202" t="s">
        <v>631</v>
      </c>
      <c r="F9" s="202" t="s">
        <v>635</v>
      </c>
    </row>
    <row r="10" spans="1:6" x14ac:dyDescent="0.2">
      <c r="A10" s="202"/>
      <c r="B10" s="202"/>
      <c r="C10" s="202"/>
      <c r="D10" s="202"/>
      <c r="E10" s="202"/>
      <c r="F10" s="202"/>
    </row>
    <row r="11" spans="1:6" x14ac:dyDescent="0.2">
      <c r="A11" s="82">
        <v>1</v>
      </c>
      <c r="B11" s="82">
        <v>2</v>
      </c>
      <c r="C11" s="62">
        <v>3</v>
      </c>
      <c r="D11" s="82">
        <v>4</v>
      </c>
      <c r="E11" s="82">
        <v>5</v>
      </c>
      <c r="F11" s="82">
        <v>6</v>
      </c>
    </row>
    <row r="12" spans="1:6" ht="21" customHeight="1" x14ac:dyDescent="0.2">
      <c r="A12" s="205" t="s">
        <v>456</v>
      </c>
      <c r="B12" s="206"/>
      <c r="C12" s="206"/>
      <c r="D12" s="206"/>
      <c r="E12" s="206"/>
      <c r="F12" s="207"/>
    </row>
    <row r="13" spans="1:6" x14ac:dyDescent="0.2">
      <c r="A13" s="83" t="s">
        <v>457</v>
      </c>
      <c r="B13" s="84" t="s">
        <v>458</v>
      </c>
      <c r="C13" s="85">
        <f t="shared" ref="C13:C18" si="0">D13+E13</f>
        <v>51091854.980000004</v>
      </c>
      <c r="D13" s="86">
        <f>D14</f>
        <v>350406</v>
      </c>
      <c r="E13" s="86">
        <f>E14</f>
        <v>50741448.980000004</v>
      </c>
      <c r="F13" s="86">
        <f>F14</f>
        <v>49140139.979999997</v>
      </c>
    </row>
    <row r="14" spans="1:6" ht="25.5" x14ac:dyDescent="0.2">
      <c r="A14" s="83" t="s">
        <v>459</v>
      </c>
      <c r="B14" s="84" t="s">
        <v>460</v>
      </c>
      <c r="C14" s="85">
        <f t="shared" si="0"/>
        <v>51091854.980000004</v>
      </c>
      <c r="D14" s="86">
        <f>D15-D16+D17</f>
        <v>350406</v>
      </c>
      <c r="E14" s="86">
        <f>E15-E16+E17</f>
        <v>50741448.980000004</v>
      </c>
      <c r="F14" s="86">
        <f>F15-F16+F17</f>
        <v>49140139.979999997</v>
      </c>
    </row>
    <row r="15" spans="1:6" ht="30.75" customHeight="1" x14ac:dyDescent="0.2">
      <c r="A15" s="87" t="s">
        <v>461</v>
      </c>
      <c r="B15" s="88" t="s">
        <v>462</v>
      </c>
      <c r="C15" s="85">
        <f t="shared" si="0"/>
        <v>51391854.980000004</v>
      </c>
      <c r="D15" s="89">
        <f>D22</f>
        <v>46856692</v>
      </c>
      <c r="E15" s="89">
        <f t="shared" ref="D15:F17" si="1">E22</f>
        <v>4535162.9800000004</v>
      </c>
      <c r="F15" s="89">
        <f t="shared" si="1"/>
        <v>2933853.98</v>
      </c>
    </row>
    <row r="16" spans="1:6" ht="27" customHeight="1" x14ac:dyDescent="0.2">
      <c r="A16" s="87" t="s">
        <v>463</v>
      </c>
      <c r="B16" s="88" t="s">
        <v>464</v>
      </c>
      <c r="C16" s="85">
        <f t="shared" si="0"/>
        <v>300000</v>
      </c>
      <c r="D16" s="89">
        <f t="shared" si="1"/>
        <v>300000</v>
      </c>
      <c r="E16" s="89">
        <f t="shared" si="1"/>
        <v>0</v>
      </c>
      <c r="F16" s="89">
        <f t="shared" si="1"/>
        <v>0</v>
      </c>
    </row>
    <row r="17" spans="1:6" ht="38.25" x14ac:dyDescent="0.2">
      <c r="A17" s="87" t="s">
        <v>465</v>
      </c>
      <c r="B17" s="88" t="s">
        <v>466</v>
      </c>
      <c r="C17" s="85">
        <f t="shared" si="0"/>
        <v>0</v>
      </c>
      <c r="D17" s="89">
        <f t="shared" si="1"/>
        <v>-46206286</v>
      </c>
      <c r="E17" s="89">
        <f t="shared" si="1"/>
        <v>46206286</v>
      </c>
      <c r="F17" s="89">
        <f t="shared" si="1"/>
        <v>46206286</v>
      </c>
    </row>
    <row r="18" spans="1:6" x14ac:dyDescent="0.2">
      <c r="A18" s="90" t="s">
        <v>192</v>
      </c>
      <c r="B18" s="91" t="s">
        <v>467</v>
      </c>
      <c r="C18" s="85">
        <f t="shared" si="0"/>
        <v>51091854.980000004</v>
      </c>
      <c r="D18" s="92">
        <f>D13</f>
        <v>350406</v>
      </c>
      <c r="E18" s="92">
        <f>E13</f>
        <v>50741448.980000004</v>
      </c>
      <c r="F18" s="92">
        <f>F13</f>
        <v>49140139.979999997</v>
      </c>
    </row>
    <row r="19" spans="1:6" ht="21" customHeight="1" x14ac:dyDescent="0.2">
      <c r="A19" s="205" t="s">
        <v>468</v>
      </c>
      <c r="B19" s="206"/>
      <c r="C19" s="206"/>
      <c r="D19" s="206"/>
      <c r="E19" s="206"/>
      <c r="F19" s="207"/>
    </row>
    <row r="20" spans="1:6" x14ac:dyDescent="0.2">
      <c r="A20" s="83" t="s">
        <v>469</v>
      </c>
      <c r="B20" s="84" t="s">
        <v>470</v>
      </c>
      <c r="C20" s="85">
        <f t="shared" ref="C20:C25" si="2">D20+E20</f>
        <v>51091854.980000004</v>
      </c>
      <c r="D20" s="86">
        <f>D21</f>
        <v>350406</v>
      </c>
      <c r="E20" s="86">
        <f>E21</f>
        <v>50741448.980000004</v>
      </c>
      <c r="F20" s="86">
        <f>F21</f>
        <v>49140139.979999997</v>
      </c>
    </row>
    <row r="21" spans="1:6" ht="12" customHeight="1" x14ac:dyDescent="0.2">
      <c r="A21" s="83" t="s">
        <v>471</v>
      </c>
      <c r="B21" s="84" t="s">
        <v>472</v>
      </c>
      <c r="C21" s="85">
        <f t="shared" si="2"/>
        <v>51091854.980000004</v>
      </c>
      <c r="D21" s="86">
        <f>D22-D23+D24</f>
        <v>350406</v>
      </c>
      <c r="E21" s="86">
        <f>E22-E23+E24</f>
        <v>50741448.980000004</v>
      </c>
      <c r="F21" s="86">
        <f>F22-F23+F24</f>
        <v>49140139.979999997</v>
      </c>
    </row>
    <row r="22" spans="1:6" ht="21.75" customHeight="1" x14ac:dyDescent="0.2">
      <c r="A22" s="87" t="s">
        <v>473</v>
      </c>
      <c r="B22" s="88" t="s">
        <v>462</v>
      </c>
      <c r="C22" s="85">
        <f t="shared" si="2"/>
        <v>51391854.980000004</v>
      </c>
      <c r="D22" s="89">
        <f>300000+34395253+11200000+800000+161439</f>
        <v>46856692</v>
      </c>
      <c r="E22" s="89">
        <f>4005353.98-42188+99000+152998+319999</f>
        <v>4535162.9800000004</v>
      </c>
      <c r="F22" s="89">
        <v>2933853.98</v>
      </c>
    </row>
    <row r="23" spans="1:6" ht="18.75" customHeight="1" x14ac:dyDescent="0.2">
      <c r="A23" s="87" t="s">
        <v>474</v>
      </c>
      <c r="B23" s="88" t="s">
        <v>464</v>
      </c>
      <c r="C23" s="85">
        <f t="shared" si="2"/>
        <v>300000</v>
      </c>
      <c r="D23" s="89">
        <v>300000</v>
      </c>
      <c r="E23" s="89"/>
      <c r="F23" s="89">
        <v>0</v>
      </c>
    </row>
    <row r="24" spans="1:6" ht="38.25" x14ac:dyDescent="0.2">
      <c r="A24" s="87" t="s">
        <v>475</v>
      </c>
      <c r="B24" s="88" t="s">
        <v>466</v>
      </c>
      <c r="C24" s="85">
        <f t="shared" si="2"/>
        <v>0</v>
      </c>
      <c r="D24" s="89">
        <f>-23863500-2368000+11776-2712354-631000+15200-96000-6039100-1463000-1554772-4493846-337900-600000-2073790</f>
        <v>-46206286</v>
      </c>
      <c r="E24" s="89">
        <f>-D24</f>
        <v>46206286</v>
      </c>
      <c r="F24" s="89">
        <f>E24</f>
        <v>46206286</v>
      </c>
    </row>
    <row r="25" spans="1:6" x14ac:dyDescent="0.2">
      <c r="A25" s="90" t="s">
        <v>192</v>
      </c>
      <c r="B25" s="91" t="s">
        <v>467</v>
      </c>
      <c r="C25" s="85">
        <f t="shared" si="2"/>
        <v>51091854.980000004</v>
      </c>
      <c r="D25" s="92">
        <f>D20</f>
        <v>350406</v>
      </c>
      <c r="E25" s="92">
        <f>E20</f>
        <v>50741448.980000004</v>
      </c>
      <c r="F25" s="92">
        <f>F20</f>
        <v>49140139.979999997</v>
      </c>
    </row>
    <row r="26" spans="1:6" x14ac:dyDescent="0.2">
      <c r="A26" s="78"/>
      <c r="B26" s="78"/>
      <c r="C26" s="78"/>
      <c r="D26" s="78"/>
      <c r="E26" s="78"/>
      <c r="F26" s="78"/>
    </row>
    <row r="27" spans="1:6" x14ac:dyDescent="0.2">
      <c r="A27" s="204"/>
      <c r="B27" s="204"/>
      <c r="C27" s="204"/>
      <c r="D27" s="204"/>
      <c r="E27" s="204"/>
      <c r="F27" s="204"/>
    </row>
    <row r="28" spans="1:6" ht="18.75" x14ac:dyDescent="0.3">
      <c r="A28" s="93" t="s">
        <v>492</v>
      </c>
      <c r="B28" s="93"/>
      <c r="C28" s="94"/>
      <c r="D28" s="46"/>
      <c r="E28" s="46" t="s">
        <v>491</v>
      </c>
      <c r="F28" s="78"/>
    </row>
  </sheetData>
  <mergeCells count="13">
    <mergeCell ref="B8:B10"/>
    <mergeCell ref="C8:C10"/>
    <mergeCell ref="D8:D10"/>
    <mergeCell ref="E8:F8"/>
    <mergeCell ref="E9:E10"/>
    <mergeCell ref="F9:F10"/>
    <mergeCell ref="D2:F2"/>
    <mergeCell ref="A4:F4"/>
    <mergeCell ref="A27:F27"/>
    <mergeCell ref="A12:F12"/>
    <mergeCell ref="A19:F19"/>
    <mergeCell ref="A5:F5"/>
    <mergeCell ref="A8:A10"/>
  </mergeCells>
  <phoneticPr fontId="0" type="noConversion"/>
  <pageMargins left="0.59055118110236204" right="0.59055118110236204" top="0.39370078740157499" bottom="0.39370078740157499" header="0" footer="0"/>
  <pageSetup paperSize="9" scale="80" fitToHeight="50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workbookViewId="0">
      <pane xSplit="4" ySplit="13" topLeftCell="E59" activePane="bottomRight" state="frozen"/>
      <selection pane="topRight" activeCell="E1" sqref="E1"/>
      <selection pane="bottomLeft" activeCell="A14" sqref="A14"/>
      <selection pane="bottomRight" activeCell="M4" sqref="M4"/>
    </sheetView>
  </sheetViews>
  <sheetFormatPr defaultRowHeight="12.75" x14ac:dyDescent="0.2"/>
  <cols>
    <col min="1" max="1" width="12.42578125" customWidth="1"/>
    <col min="2" max="2" width="11.7109375" customWidth="1"/>
    <col min="3" max="3" width="12" customWidth="1"/>
    <col min="4" max="4" width="40.7109375" customWidth="1"/>
    <col min="5" max="5" width="14.140625" customWidth="1"/>
    <col min="6" max="6" width="14.28515625" customWidth="1"/>
    <col min="7" max="7" width="14" customWidth="1"/>
    <col min="8" max="8" width="13.5703125" customWidth="1"/>
    <col min="9" max="10" width="12.5703125" customWidth="1"/>
    <col min="11" max="11" width="13.140625" customWidth="1"/>
    <col min="12" max="12" width="12.42578125" customWidth="1"/>
    <col min="13" max="13" width="10.85546875" customWidth="1"/>
    <col min="14" max="14" width="11.42578125" customWidth="1"/>
    <col min="15" max="15" width="12.85546875" customWidth="1"/>
    <col min="16" max="16" width="13.85546875" customWidth="1"/>
  </cols>
  <sheetData>
    <row r="1" spans="1:16" x14ac:dyDescent="0.2">
      <c r="M1" t="s">
        <v>620</v>
      </c>
    </row>
    <row r="2" spans="1:16" ht="47.25" customHeight="1" x14ac:dyDescent="0.25">
      <c r="A2" s="1"/>
      <c r="M2" s="198" t="s">
        <v>487</v>
      </c>
      <c r="N2" s="198"/>
      <c r="O2" s="198"/>
    </row>
    <row r="3" spans="1:16" ht="21" customHeight="1" x14ac:dyDescent="0.2">
      <c r="M3" t="s">
        <v>637</v>
      </c>
    </row>
    <row r="5" spans="1:16" ht="15.75" x14ac:dyDescent="0.25">
      <c r="A5" s="208" t="s">
        <v>195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</row>
    <row r="6" spans="1:16" ht="15.75" x14ac:dyDescent="0.25">
      <c r="A6" s="199" t="s">
        <v>194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</row>
    <row r="7" spans="1:16" x14ac:dyDescent="0.2">
      <c r="A7" s="2" t="s">
        <v>621</v>
      </c>
    </row>
    <row r="8" spans="1:16" x14ac:dyDescent="0.2">
      <c r="A8" t="s">
        <v>622</v>
      </c>
      <c r="P8" s="3" t="s">
        <v>623</v>
      </c>
    </row>
    <row r="9" spans="1:16" x14ac:dyDescent="0.2">
      <c r="A9" s="215" t="s">
        <v>624</v>
      </c>
      <c r="B9" s="215" t="s">
        <v>625</v>
      </c>
      <c r="C9" s="215" t="s">
        <v>626</v>
      </c>
      <c r="D9" s="195" t="s">
        <v>627</v>
      </c>
      <c r="E9" s="195" t="s">
        <v>628</v>
      </c>
      <c r="F9" s="195"/>
      <c r="G9" s="195"/>
      <c r="H9" s="195"/>
      <c r="I9" s="195"/>
      <c r="J9" s="195" t="s">
        <v>629</v>
      </c>
      <c r="K9" s="195"/>
      <c r="L9" s="195"/>
      <c r="M9" s="195"/>
      <c r="N9" s="195"/>
      <c r="O9" s="195"/>
      <c r="P9" s="201" t="s">
        <v>630</v>
      </c>
    </row>
    <row r="10" spans="1:16" x14ac:dyDescent="0.2">
      <c r="A10" s="195"/>
      <c r="B10" s="195"/>
      <c r="C10" s="195"/>
      <c r="D10" s="195"/>
      <c r="E10" s="214" t="s">
        <v>631</v>
      </c>
      <c r="F10" s="195" t="s">
        <v>632</v>
      </c>
      <c r="G10" s="195" t="s">
        <v>633</v>
      </c>
      <c r="H10" s="195"/>
      <c r="I10" s="195" t="s">
        <v>634</v>
      </c>
      <c r="J10" s="211" t="s">
        <v>631</v>
      </c>
      <c r="K10" s="195" t="s">
        <v>635</v>
      </c>
      <c r="L10" s="195" t="s">
        <v>632</v>
      </c>
      <c r="M10" s="195" t="s">
        <v>633</v>
      </c>
      <c r="N10" s="195"/>
      <c r="O10" s="195" t="s">
        <v>634</v>
      </c>
      <c r="P10" s="195"/>
    </row>
    <row r="11" spans="1:16" x14ac:dyDescent="0.2">
      <c r="A11" s="195"/>
      <c r="B11" s="195"/>
      <c r="C11" s="195"/>
      <c r="D11" s="195"/>
      <c r="E11" s="214"/>
      <c r="F11" s="195"/>
      <c r="G11" s="195" t="s">
        <v>636</v>
      </c>
      <c r="H11" s="195" t="s">
        <v>0</v>
      </c>
      <c r="I11" s="195"/>
      <c r="J11" s="211"/>
      <c r="K11" s="195"/>
      <c r="L11" s="195"/>
      <c r="M11" s="195" t="s">
        <v>636</v>
      </c>
      <c r="N11" s="195" t="s">
        <v>0</v>
      </c>
      <c r="O11" s="195"/>
      <c r="P11" s="195"/>
    </row>
    <row r="12" spans="1:16" ht="44.25" customHeight="1" x14ac:dyDescent="0.2">
      <c r="A12" s="195"/>
      <c r="B12" s="195"/>
      <c r="C12" s="195"/>
      <c r="D12" s="195"/>
      <c r="E12" s="214"/>
      <c r="F12" s="195"/>
      <c r="G12" s="195"/>
      <c r="H12" s="195"/>
      <c r="I12" s="195"/>
      <c r="J12" s="211"/>
      <c r="K12" s="195"/>
      <c r="L12" s="195"/>
      <c r="M12" s="195"/>
      <c r="N12" s="195"/>
      <c r="O12" s="195"/>
      <c r="P12" s="195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6">
        <v>5</v>
      </c>
      <c r="F13" s="4">
        <v>6</v>
      </c>
      <c r="G13" s="4">
        <v>7</v>
      </c>
      <c r="H13" s="4">
        <v>8</v>
      </c>
      <c r="I13" s="4">
        <v>9</v>
      </c>
      <c r="J13" s="6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7" t="s">
        <v>1</v>
      </c>
      <c r="B14" s="7" t="s">
        <v>2</v>
      </c>
      <c r="C14" s="7" t="s">
        <v>2</v>
      </c>
      <c r="D14" s="8" t="s">
        <v>3</v>
      </c>
      <c r="E14" s="9">
        <f t="shared" ref="E14:O14" si="0">E15</f>
        <v>143080319.96000001</v>
      </c>
      <c r="F14" s="9">
        <f t="shared" si="0"/>
        <v>118819430.96000001</v>
      </c>
      <c r="G14" s="9">
        <f t="shared" si="0"/>
        <v>37486587</v>
      </c>
      <c r="H14" s="9">
        <f t="shared" si="0"/>
        <v>11020076.699999999</v>
      </c>
      <c r="I14" s="9">
        <f t="shared" si="0"/>
        <v>24260889</v>
      </c>
      <c r="J14" s="9">
        <f t="shared" si="0"/>
        <v>41592185</v>
      </c>
      <c r="K14" s="9">
        <f t="shared" si="0"/>
        <v>39529686</v>
      </c>
      <c r="L14" s="9">
        <f t="shared" si="0"/>
        <v>1312500</v>
      </c>
      <c r="M14" s="9">
        <f t="shared" si="0"/>
        <v>0</v>
      </c>
      <c r="N14" s="9">
        <f t="shared" si="0"/>
        <v>0</v>
      </c>
      <c r="O14" s="9">
        <f t="shared" si="0"/>
        <v>40279685</v>
      </c>
      <c r="P14" s="9">
        <f t="shared" ref="P14:P56" si="1">E14+J14</f>
        <v>184672504.96000001</v>
      </c>
    </row>
    <row r="15" spans="1:16" ht="25.5" x14ac:dyDescent="0.2">
      <c r="A15" s="10" t="s">
        <v>4</v>
      </c>
      <c r="B15" s="10" t="s">
        <v>2</v>
      </c>
      <c r="C15" s="10" t="s">
        <v>2</v>
      </c>
      <c r="D15" s="11" t="s">
        <v>3</v>
      </c>
      <c r="E15" s="12">
        <f>I15+F15</f>
        <v>143080319.96000001</v>
      </c>
      <c r="F15" s="12">
        <f>SUM(F16:F55)</f>
        <v>118819430.96000001</v>
      </c>
      <c r="G15" s="12">
        <f>SUM(G16:G55)</f>
        <v>37486587</v>
      </c>
      <c r="H15" s="12">
        <f>SUM(H16:H55)</f>
        <v>11020076.699999999</v>
      </c>
      <c r="I15" s="12">
        <f>SUM(I16:I55)</f>
        <v>24260889</v>
      </c>
      <c r="J15" s="12">
        <f>L15+O15</f>
        <v>41592185</v>
      </c>
      <c r="K15" s="12">
        <f>SUM(K16:K55)</f>
        <v>39529686</v>
      </c>
      <c r="L15" s="12">
        <f>SUM(L16:L55)</f>
        <v>1312500</v>
      </c>
      <c r="M15" s="12">
        <f>SUM(M16:M55)</f>
        <v>0</v>
      </c>
      <c r="N15" s="12">
        <f>SUM(N16:N55)</f>
        <v>0</v>
      </c>
      <c r="O15" s="12">
        <f>SUM(O16:O55)</f>
        <v>40279685</v>
      </c>
      <c r="P15" s="9">
        <f t="shared" si="1"/>
        <v>184672504.96000001</v>
      </c>
    </row>
    <row r="16" spans="1:16" ht="66.75" hidden="1" customHeight="1" x14ac:dyDescent="0.2">
      <c r="A16" s="13" t="s">
        <v>5</v>
      </c>
      <c r="B16" s="13" t="s">
        <v>6</v>
      </c>
      <c r="C16" s="13" t="s">
        <v>7</v>
      </c>
      <c r="D16" s="14" t="s">
        <v>8</v>
      </c>
      <c r="E16" s="15">
        <f t="shared" ref="E16:E58" si="2">F16+I16</f>
        <v>38021905</v>
      </c>
      <c r="F16" s="16">
        <f>37271905+300000+50000+200000+200000</f>
        <v>38021905</v>
      </c>
      <c r="G16" s="16">
        <v>27260731</v>
      </c>
      <c r="H16" s="16">
        <f>1967190+100000-31000</f>
        <v>2036190</v>
      </c>
      <c r="I16" s="17">
        <v>0</v>
      </c>
      <c r="J16" s="9">
        <f t="shared" ref="J16:J55" si="3">L16+O16</f>
        <v>280000</v>
      </c>
      <c r="K16" s="17">
        <f>240000+40000</f>
        <v>280000</v>
      </c>
      <c r="L16" s="17">
        <v>0</v>
      </c>
      <c r="M16" s="17">
        <v>0</v>
      </c>
      <c r="N16" s="17">
        <v>0</v>
      </c>
      <c r="O16" s="17">
        <f>K16</f>
        <v>280000</v>
      </c>
      <c r="P16" s="9">
        <f t="shared" si="1"/>
        <v>38301905</v>
      </c>
    </row>
    <row r="17" spans="1:16" ht="43.5" hidden="1" customHeight="1" x14ac:dyDescent="0.2">
      <c r="A17" s="98" t="s">
        <v>534</v>
      </c>
      <c r="B17" s="99" t="s">
        <v>117</v>
      </c>
      <c r="C17" s="99" t="s">
        <v>7</v>
      </c>
      <c r="D17" s="119" t="s">
        <v>118</v>
      </c>
      <c r="E17" s="15">
        <f t="shared" si="2"/>
        <v>2077816</v>
      </c>
      <c r="F17" s="16">
        <v>2077816</v>
      </c>
      <c r="G17" s="16">
        <v>1677718</v>
      </c>
      <c r="H17" s="16">
        <v>31000</v>
      </c>
      <c r="I17" s="17"/>
      <c r="J17" s="9">
        <f t="shared" si="3"/>
        <v>0</v>
      </c>
      <c r="K17" s="17"/>
      <c r="L17" s="17"/>
      <c r="M17" s="17"/>
      <c r="N17" s="17"/>
      <c r="O17" s="17"/>
      <c r="P17" s="9">
        <f t="shared" si="1"/>
        <v>2077816</v>
      </c>
    </row>
    <row r="18" spans="1:16" ht="26.25" hidden="1" customHeight="1" x14ac:dyDescent="0.2">
      <c r="A18" s="13" t="s">
        <v>9</v>
      </c>
      <c r="B18" s="13" t="s">
        <v>10</v>
      </c>
      <c r="C18" s="13" t="s">
        <v>11</v>
      </c>
      <c r="D18" s="14" t="s">
        <v>12</v>
      </c>
      <c r="E18" s="15">
        <f t="shared" si="2"/>
        <v>942397</v>
      </c>
      <c r="F18" s="16">
        <v>942397</v>
      </c>
      <c r="G18" s="16">
        <v>540258</v>
      </c>
      <c r="H18" s="16">
        <v>34000</v>
      </c>
      <c r="I18" s="17">
        <v>0</v>
      </c>
      <c r="J18" s="9">
        <f t="shared" si="3"/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9">
        <f t="shared" si="1"/>
        <v>942397</v>
      </c>
    </row>
    <row r="19" spans="1:16" ht="28.5" customHeight="1" x14ac:dyDescent="0.2">
      <c r="A19" s="13" t="s">
        <v>13</v>
      </c>
      <c r="B19" s="13" t="s">
        <v>14</v>
      </c>
      <c r="C19" s="13" t="s">
        <v>15</v>
      </c>
      <c r="D19" s="14" t="s">
        <v>16</v>
      </c>
      <c r="E19" s="15">
        <f t="shared" si="2"/>
        <v>17543323.260000002</v>
      </c>
      <c r="F19" s="16">
        <f>15137711+80630+500000+15000+1406800+15000+180000+18182.26+190000</f>
        <v>17543323.260000002</v>
      </c>
      <c r="G19" s="17">
        <v>0</v>
      </c>
      <c r="H19" s="17">
        <v>0</v>
      </c>
      <c r="I19" s="17">
        <v>0</v>
      </c>
      <c r="J19" s="9">
        <f t="shared" si="3"/>
        <v>1852200</v>
      </c>
      <c r="K19" s="17">
        <f>573500+96000+200000+300000+572700+110000</f>
        <v>1852200</v>
      </c>
      <c r="L19" s="17">
        <v>0</v>
      </c>
      <c r="M19" s="17">
        <v>0</v>
      </c>
      <c r="N19" s="17">
        <v>0</v>
      </c>
      <c r="O19" s="17">
        <f>K19</f>
        <v>1852200</v>
      </c>
      <c r="P19" s="9">
        <f t="shared" si="1"/>
        <v>19395523.260000002</v>
      </c>
    </row>
    <row r="20" spans="1:16" hidden="1" x14ac:dyDescent="0.2">
      <c r="A20" s="13" t="s">
        <v>17</v>
      </c>
      <c r="B20" s="13" t="s">
        <v>18</v>
      </c>
      <c r="C20" s="13" t="s">
        <v>19</v>
      </c>
      <c r="D20" s="14" t="s">
        <v>20</v>
      </c>
      <c r="E20" s="15">
        <f t="shared" si="2"/>
        <v>3537061</v>
      </c>
      <c r="F20" s="16">
        <f>3517061+20000</f>
        <v>3537061</v>
      </c>
      <c r="G20" s="17">
        <v>0</v>
      </c>
      <c r="H20" s="17">
        <v>0</v>
      </c>
      <c r="I20" s="17">
        <v>0</v>
      </c>
      <c r="J20" s="9">
        <f t="shared" si="3"/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9">
        <f t="shared" si="1"/>
        <v>3537061</v>
      </c>
    </row>
    <row r="21" spans="1:16" ht="44.25" customHeight="1" x14ac:dyDescent="0.2">
      <c r="A21" s="13" t="s">
        <v>21</v>
      </c>
      <c r="B21" s="13" t="s">
        <v>22</v>
      </c>
      <c r="C21" s="13" t="s">
        <v>23</v>
      </c>
      <c r="D21" s="14" t="s">
        <v>24</v>
      </c>
      <c r="E21" s="15">
        <f t="shared" si="2"/>
        <v>8406500</v>
      </c>
      <c r="F21" s="16">
        <f>8037500+116000+349000-96000</f>
        <v>8406500</v>
      </c>
      <c r="G21" s="17">
        <v>0</v>
      </c>
      <c r="H21" s="17">
        <v>0</v>
      </c>
      <c r="I21" s="17">
        <v>0</v>
      </c>
      <c r="J21" s="9">
        <f t="shared" si="3"/>
        <v>170800</v>
      </c>
      <c r="K21" s="17">
        <f>74800+96000</f>
        <v>170800</v>
      </c>
      <c r="L21" s="17">
        <v>0</v>
      </c>
      <c r="M21" s="17">
        <v>0</v>
      </c>
      <c r="N21" s="17">
        <v>0</v>
      </c>
      <c r="O21" s="17">
        <f>K21</f>
        <v>170800</v>
      </c>
      <c r="P21" s="9">
        <f t="shared" si="1"/>
        <v>8577300</v>
      </c>
    </row>
    <row r="22" spans="1:16" ht="25.5" hidden="1" x14ac:dyDescent="0.2">
      <c r="A22" s="13" t="s">
        <v>25</v>
      </c>
      <c r="B22" s="13" t="s">
        <v>26</v>
      </c>
      <c r="C22" s="13" t="s">
        <v>27</v>
      </c>
      <c r="D22" s="14" t="s">
        <v>28</v>
      </c>
      <c r="E22" s="15">
        <f t="shared" si="2"/>
        <v>423300</v>
      </c>
      <c r="F22" s="16">
        <v>423300</v>
      </c>
      <c r="G22" s="17">
        <v>0</v>
      </c>
      <c r="H22" s="17">
        <v>0</v>
      </c>
      <c r="I22" s="17">
        <v>0</v>
      </c>
      <c r="J22" s="9">
        <f t="shared" si="3"/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9">
        <f t="shared" si="1"/>
        <v>423300</v>
      </c>
    </row>
    <row r="23" spans="1:16" ht="25.5" hidden="1" x14ac:dyDescent="0.2">
      <c r="A23" s="13" t="s">
        <v>29</v>
      </c>
      <c r="B23" s="13" t="s">
        <v>30</v>
      </c>
      <c r="C23" s="13" t="s">
        <v>31</v>
      </c>
      <c r="D23" s="14" t="s">
        <v>32</v>
      </c>
      <c r="E23" s="15">
        <f t="shared" si="2"/>
        <v>40000</v>
      </c>
      <c r="F23" s="16">
        <v>40000</v>
      </c>
      <c r="G23" s="17">
        <v>0</v>
      </c>
      <c r="H23" s="17">
        <v>0</v>
      </c>
      <c r="I23" s="17">
        <v>0</v>
      </c>
      <c r="J23" s="9">
        <f t="shared" si="3"/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9">
        <f t="shared" si="1"/>
        <v>40000</v>
      </c>
    </row>
    <row r="24" spans="1:16" ht="38.25" hidden="1" x14ac:dyDescent="0.2">
      <c r="A24" s="13" t="s">
        <v>33</v>
      </c>
      <c r="B24" s="13" t="s">
        <v>34</v>
      </c>
      <c r="C24" s="13" t="s">
        <v>31</v>
      </c>
      <c r="D24" s="14" t="s">
        <v>35</v>
      </c>
      <c r="E24" s="15">
        <f t="shared" si="2"/>
        <v>300000</v>
      </c>
      <c r="F24" s="16">
        <v>300000</v>
      </c>
      <c r="G24" s="17">
        <v>0</v>
      </c>
      <c r="H24" s="17">
        <v>0</v>
      </c>
      <c r="I24" s="17">
        <v>0</v>
      </c>
      <c r="J24" s="9">
        <f t="shared" si="3"/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9">
        <f t="shared" si="1"/>
        <v>300000</v>
      </c>
    </row>
    <row r="25" spans="1:16" ht="38.25" hidden="1" x14ac:dyDescent="0.2">
      <c r="A25" s="13" t="s">
        <v>36</v>
      </c>
      <c r="B25" s="13" t="s">
        <v>37</v>
      </c>
      <c r="C25" s="13" t="s">
        <v>31</v>
      </c>
      <c r="D25" s="14" t="s">
        <v>38</v>
      </c>
      <c r="E25" s="15">
        <f t="shared" si="2"/>
        <v>100000</v>
      </c>
      <c r="F25" s="16">
        <v>100000</v>
      </c>
      <c r="G25" s="17">
        <v>0</v>
      </c>
      <c r="H25" s="17">
        <v>0</v>
      </c>
      <c r="I25" s="17">
        <v>0</v>
      </c>
      <c r="J25" s="9">
        <f t="shared" si="3"/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9">
        <f t="shared" si="1"/>
        <v>100000</v>
      </c>
    </row>
    <row r="26" spans="1:16" ht="70.5" hidden="1" customHeight="1" x14ac:dyDescent="0.2">
      <c r="A26" s="13" t="s">
        <v>39</v>
      </c>
      <c r="B26" s="13" t="s">
        <v>40</v>
      </c>
      <c r="C26" s="13" t="s">
        <v>41</v>
      </c>
      <c r="D26" s="14" t="s">
        <v>42</v>
      </c>
      <c r="E26" s="15">
        <f t="shared" si="2"/>
        <v>315000</v>
      </c>
      <c r="F26" s="16">
        <f>165000+150000</f>
        <v>315000</v>
      </c>
      <c r="G26" s="17">
        <v>0</v>
      </c>
      <c r="H26" s="17">
        <v>0</v>
      </c>
      <c r="I26" s="17">
        <v>0</v>
      </c>
      <c r="J26" s="9">
        <f t="shared" si="3"/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9">
        <f t="shared" si="1"/>
        <v>315000</v>
      </c>
    </row>
    <row r="27" spans="1:16" ht="81.75" customHeight="1" x14ac:dyDescent="0.2">
      <c r="A27" s="13" t="s">
        <v>43</v>
      </c>
      <c r="B27" s="13" t="s">
        <v>44</v>
      </c>
      <c r="C27" s="13" t="s">
        <v>45</v>
      </c>
      <c r="D27" s="14" t="s">
        <v>46</v>
      </c>
      <c r="E27" s="15">
        <f t="shared" si="2"/>
        <v>2015500</v>
      </c>
      <c r="F27" s="16">
        <f>1415500+300000+300000</f>
        <v>2015500</v>
      </c>
      <c r="G27" s="17">
        <v>0</v>
      </c>
      <c r="H27" s="17">
        <v>0</v>
      </c>
      <c r="I27" s="17">
        <v>0</v>
      </c>
      <c r="J27" s="9">
        <f t="shared" si="3"/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9">
        <f t="shared" si="1"/>
        <v>2015500</v>
      </c>
    </row>
    <row r="28" spans="1:16" ht="81.75" hidden="1" customHeight="1" x14ac:dyDescent="0.2">
      <c r="A28" s="13" t="s">
        <v>47</v>
      </c>
      <c r="B28" s="13" t="s">
        <v>48</v>
      </c>
      <c r="C28" s="13" t="s">
        <v>49</v>
      </c>
      <c r="D28" s="14" t="s">
        <v>50</v>
      </c>
      <c r="E28" s="15">
        <f t="shared" si="2"/>
        <v>207540</v>
      </c>
      <c r="F28" s="16">
        <f>183140+24400</f>
        <v>207540</v>
      </c>
      <c r="G28" s="17">
        <v>0</v>
      </c>
      <c r="H28" s="17">
        <v>0</v>
      </c>
      <c r="I28" s="17">
        <v>0</v>
      </c>
      <c r="J28" s="9">
        <f t="shared" si="3"/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9">
        <f t="shared" si="1"/>
        <v>207540</v>
      </c>
    </row>
    <row r="29" spans="1:16" ht="28.5" hidden="1" customHeight="1" x14ac:dyDescent="0.2">
      <c r="A29" s="13" t="s">
        <v>51</v>
      </c>
      <c r="B29" s="13" t="s">
        <v>52</v>
      </c>
      <c r="C29" s="13" t="s">
        <v>53</v>
      </c>
      <c r="D29" s="14" t="s">
        <v>54</v>
      </c>
      <c r="E29" s="15">
        <f t="shared" si="2"/>
        <v>50000</v>
      </c>
      <c r="F29" s="16">
        <v>50000</v>
      </c>
      <c r="G29" s="17">
        <v>0</v>
      </c>
      <c r="H29" s="17">
        <v>0</v>
      </c>
      <c r="I29" s="17">
        <v>0</v>
      </c>
      <c r="J29" s="9">
        <f t="shared" si="3"/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9">
        <f t="shared" si="1"/>
        <v>50000</v>
      </c>
    </row>
    <row r="30" spans="1:16" ht="40.5" customHeight="1" x14ac:dyDescent="0.2">
      <c r="A30" s="13" t="s">
        <v>55</v>
      </c>
      <c r="B30" s="13" t="s">
        <v>56</v>
      </c>
      <c r="C30" s="13" t="s">
        <v>57</v>
      </c>
      <c r="D30" s="14" t="s">
        <v>58</v>
      </c>
      <c r="E30" s="15">
        <f t="shared" si="2"/>
        <v>12531390.699999999</v>
      </c>
      <c r="F30" s="16">
        <f>11939187+100000+156748.68+100000+24522+210933.02</f>
        <v>12531390.699999999</v>
      </c>
      <c r="G30" s="16">
        <f>7912780+75000+20100</f>
        <v>8007880</v>
      </c>
      <c r="H30" s="16">
        <f>1442705+8500+156748.68+100000+210933.02</f>
        <v>1918886.7</v>
      </c>
      <c r="I30" s="17">
        <v>0</v>
      </c>
      <c r="J30" s="9">
        <f t="shared" si="3"/>
        <v>460000</v>
      </c>
      <c r="K30" s="17">
        <v>340000</v>
      </c>
      <c r="L30" s="17">
        <v>120000</v>
      </c>
      <c r="M30" s="17">
        <v>0</v>
      </c>
      <c r="N30" s="17">
        <v>0</v>
      </c>
      <c r="O30" s="17">
        <f>K30</f>
        <v>340000</v>
      </c>
      <c r="P30" s="9">
        <f t="shared" si="1"/>
        <v>12991390.699999999</v>
      </c>
    </row>
    <row r="31" spans="1:16" ht="30.75" hidden="1" customHeight="1" x14ac:dyDescent="0.2">
      <c r="A31" s="13" t="s">
        <v>59</v>
      </c>
      <c r="B31" s="13" t="s">
        <v>60</v>
      </c>
      <c r="C31" s="13" t="s">
        <v>57</v>
      </c>
      <c r="D31" s="14" t="s">
        <v>61</v>
      </c>
      <c r="E31" s="15">
        <f t="shared" si="2"/>
        <v>5236913</v>
      </c>
      <c r="F31" s="16">
        <f>4236913+1000000</f>
        <v>5236913</v>
      </c>
      <c r="G31" s="17">
        <v>0</v>
      </c>
      <c r="H31" s="17">
        <v>0</v>
      </c>
      <c r="I31" s="17">
        <v>0</v>
      </c>
      <c r="J31" s="9">
        <f t="shared" si="3"/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9">
        <f t="shared" si="1"/>
        <v>5236913</v>
      </c>
    </row>
    <row r="32" spans="1:16" ht="26.25" hidden="1" customHeight="1" x14ac:dyDescent="0.2">
      <c r="A32" s="98" t="s">
        <v>570</v>
      </c>
      <c r="B32" s="98">
        <v>5045</v>
      </c>
      <c r="C32" s="98" t="s">
        <v>173</v>
      </c>
      <c r="D32" s="25" t="s">
        <v>575</v>
      </c>
      <c r="E32" s="15">
        <f t="shared" si="2"/>
        <v>0</v>
      </c>
      <c r="F32" s="16"/>
      <c r="G32" s="17"/>
      <c r="H32" s="17"/>
      <c r="I32" s="17"/>
      <c r="J32" s="9">
        <f t="shared" si="3"/>
        <v>5379076</v>
      </c>
      <c r="K32" s="17">
        <f>1700000+1500000+2179076</f>
        <v>5379076</v>
      </c>
      <c r="L32" s="17"/>
      <c r="M32" s="17"/>
      <c r="N32" s="17"/>
      <c r="O32" s="17">
        <f>K32</f>
        <v>5379076</v>
      </c>
      <c r="P32" s="9">
        <f>E32+J32</f>
        <v>5379076</v>
      </c>
    </row>
    <row r="33" spans="1:16" ht="34.5" hidden="1" customHeight="1" x14ac:dyDescent="0.2">
      <c r="A33" s="13" t="s">
        <v>62</v>
      </c>
      <c r="B33" s="13" t="s">
        <v>63</v>
      </c>
      <c r="C33" s="13" t="s">
        <v>64</v>
      </c>
      <c r="D33" s="14" t="s">
        <v>65</v>
      </c>
      <c r="E33" s="15">
        <f t="shared" si="2"/>
        <v>44000</v>
      </c>
      <c r="F33" s="17">
        <v>0</v>
      </c>
      <c r="G33" s="17">
        <v>0</v>
      </c>
      <c r="H33" s="17">
        <v>0</v>
      </c>
      <c r="I33" s="16">
        <v>44000</v>
      </c>
      <c r="J33" s="9">
        <f t="shared" si="3"/>
        <v>200000</v>
      </c>
      <c r="K33" s="17">
        <v>200000</v>
      </c>
      <c r="L33" s="17">
        <v>0</v>
      </c>
      <c r="M33" s="17">
        <v>0</v>
      </c>
      <c r="N33" s="17">
        <v>0</v>
      </c>
      <c r="O33" s="17">
        <f>K33</f>
        <v>200000</v>
      </c>
      <c r="P33" s="9">
        <f t="shared" si="1"/>
        <v>244000</v>
      </c>
    </row>
    <row r="34" spans="1:16" ht="31.5" hidden="1" customHeight="1" x14ac:dyDescent="0.2">
      <c r="A34" s="13" t="s">
        <v>66</v>
      </c>
      <c r="B34" s="13" t="s">
        <v>67</v>
      </c>
      <c r="C34" s="13" t="s">
        <v>68</v>
      </c>
      <c r="D34" s="14" t="s">
        <v>69</v>
      </c>
      <c r="E34" s="15">
        <f t="shared" si="2"/>
        <v>0</v>
      </c>
      <c r="F34" s="17">
        <v>0</v>
      </c>
      <c r="G34" s="17">
        <v>0</v>
      </c>
      <c r="H34" s="17">
        <v>0</v>
      </c>
      <c r="I34" s="16"/>
      <c r="J34" s="9">
        <f t="shared" si="3"/>
        <v>773722</v>
      </c>
      <c r="K34" s="17">
        <f>657653+116069</f>
        <v>773722</v>
      </c>
      <c r="L34" s="17">
        <v>0</v>
      </c>
      <c r="M34" s="17">
        <v>0</v>
      </c>
      <c r="N34" s="17">
        <v>0</v>
      </c>
      <c r="O34" s="17">
        <f>K34</f>
        <v>773722</v>
      </c>
      <c r="P34" s="9">
        <f t="shared" si="1"/>
        <v>773722</v>
      </c>
    </row>
    <row r="35" spans="1:16" ht="24" customHeight="1" x14ac:dyDescent="0.2">
      <c r="A35" s="13" t="s">
        <v>70</v>
      </c>
      <c r="B35" s="13" t="s">
        <v>71</v>
      </c>
      <c r="C35" s="13" t="s">
        <v>68</v>
      </c>
      <c r="D35" s="14" t="s">
        <v>72</v>
      </c>
      <c r="E35" s="15">
        <f t="shared" si="2"/>
        <v>18115889</v>
      </c>
      <c r="F35" s="16">
        <f>8104000-1104000+99000</f>
        <v>7099000</v>
      </c>
      <c r="G35" s="17">
        <v>0</v>
      </c>
      <c r="H35" s="16">
        <v>7000000</v>
      </c>
      <c r="I35" s="16">
        <f>5173314+1616000+549360+40000+500000+632950+251000+129000+99360+1461295+564610</f>
        <v>11016889</v>
      </c>
      <c r="J35" s="9">
        <f t="shared" si="3"/>
        <v>4441050</v>
      </c>
      <c r="K35" s="17">
        <f>1000000-78950+3000000+520000</f>
        <v>4441050</v>
      </c>
      <c r="L35" s="17">
        <v>0</v>
      </c>
      <c r="M35" s="17">
        <v>0</v>
      </c>
      <c r="N35" s="17">
        <v>0</v>
      </c>
      <c r="O35" s="17">
        <f t="shared" ref="O35:O40" si="4">K35</f>
        <v>4441050</v>
      </c>
      <c r="P35" s="9">
        <f t="shared" si="1"/>
        <v>22556939</v>
      </c>
    </row>
    <row r="36" spans="1:16" ht="24.75" customHeight="1" x14ac:dyDescent="0.2">
      <c r="A36" s="18" t="s">
        <v>73</v>
      </c>
      <c r="B36" s="120">
        <v>7130</v>
      </c>
      <c r="C36" s="19" t="s">
        <v>75</v>
      </c>
      <c r="D36" s="19" t="s">
        <v>76</v>
      </c>
      <c r="E36" s="15">
        <f t="shared" si="2"/>
        <v>844000</v>
      </c>
      <c r="F36" s="16">
        <f>100000+606000-13000+141000+60000-50000</f>
        <v>844000</v>
      </c>
      <c r="G36" s="17"/>
      <c r="H36" s="16"/>
      <c r="I36" s="16"/>
      <c r="J36" s="9">
        <f t="shared" si="3"/>
        <v>1192500</v>
      </c>
      <c r="K36" s="17"/>
      <c r="L36" s="17">
        <f>310000+1071500-288000+99000</f>
        <v>1192500</v>
      </c>
      <c r="M36" s="17"/>
      <c r="N36" s="17"/>
      <c r="O36" s="17">
        <f t="shared" si="4"/>
        <v>0</v>
      </c>
      <c r="P36" s="9">
        <f t="shared" si="1"/>
        <v>2036500</v>
      </c>
    </row>
    <row r="37" spans="1:16" ht="31.5" hidden="1" customHeight="1" x14ac:dyDescent="0.2">
      <c r="A37" s="13" t="s">
        <v>77</v>
      </c>
      <c r="B37" s="13" t="s">
        <v>78</v>
      </c>
      <c r="C37" s="13" t="s">
        <v>79</v>
      </c>
      <c r="D37" s="14" t="s">
        <v>80</v>
      </c>
      <c r="E37" s="15">
        <f t="shared" si="2"/>
        <v>0</v>
      </c>
      <c r="F37" s="17">
        <v>0</v>
      </c>
      <c r="G37" s="17">
        <v>0</v>
      </c>
      <c r="H37" s="17">
        <v>0</v>
      </c>
      <c r="I37" s="17">
        <v>0</v>
      </c>
      <c r="J37" s="9">
        <f t="shared" si="3"/>
        <v>7267664</v>
      </c>
      <c r="K37" s="17">
        <f>10981000-5022637-476700+1510000+276001</f>
        <v>7267664</v>
      </c>
      <c r="L37" s="17">
        <v>0</v>
      </c>
      <c r="M37" s="17">
        <v>0</v>
      </c>
      <c r="N37" s="17">
        <v>0</v>
      </c>
      <c r="O37" s="17">
        <f t="shared" si="4"/>
        <v>7267664</v>
      </c>
      <c r="P37" s="9">
        <f t="shared" si="1"/>
        <v>7267664</v>
      </c>
    </row>
    <row r="38" spans="1:16" ht="31.5" customHeight="1" x14ac:dyDescent="0.2">
      <c r="A38" s="104" t="s">
        <v>503</v>
      </c>
      <c r="B38" s="107">
        <v>7330</v>
      </c>
      <c r="C38" s="108" t="s">
        <v>79</v>
      </c>
      <c r="D38" s="25" t="s">
        <v>504</v>
      </c>
      <c r="E38" s="15">
        <f t="shared" si="2"/>
        <v>0</v>
      </c>
      <c r="F38" s="17"/>
      <c r="G38" s="17"/>
      <c r="H38" s="17"/>
      <c r="I38" s="17"/>
      <c r="J38" s="9">
        <f t="shared" si="3"/>
        <v>771700</v>
      </c>
      <c r="K38" s="17">
        <f>500000+28000+101700+130000+12000</f>
        <v>771700</v>
      </c>
      <c r="L38" s="17"/>
      <c r="M38" s="17"/>
      <c r="N38" s="17"/>
      <c r="O38" s="17">
        <f t="shared" si="4"/>
        <v>771700</v>
      </c>
      <c r="P38" s="9">
        <f t="shared" si="1"/>
        <v>771700</v>
      </c>
    </row>
    <row r="39" spans="1:16" ht="28.5" customHeight="1" x14ac:dyDescent="0.2">
      <c r="A39" s="13" t="s">
        <v>81</v>
      </c>
      <c r="B39" s="13" t="s">
        <v>82</v>
      </c>
      <c r="C39" s="13" t="s">
        <v>79</v>
      </c>
      <c r="D39" s="14" t="s">
        <v>83</v>
      </c>
      <c r="E39" s="15">
        <f t="shared" si="2"/>
        <v>0</v>
      </c>
      <c r="F39" s="17">
        <v>0</v>
      </c>
      <c r="G39" s="17">
        <v>0</v>
      </c>
      <c r="H39" s="17">
        <v>0</v>
      </c>
      <c r="I39" s="17">
        <v>0</v>
      </c>
      <c r="J39" s="9">
        <f t="shared" si="3"/>
        <v>711500</v>
      </c>
      <c r="K39" s="17">
        <f>250000+237500-28000+202000+50000</f>
        <v>711500</v>
      </c>
      <c r="L39" s="17">
        <v>0</v>
      </c>
      <c r="M39" s="17">
        <v>0</v>
      </c>
      <c r="N39" s="17">
        <v>0</v>
      </c>
      <c r="O39" s="17">
        <f t="shared" si="4"/>
        <v>711500</v>
      </c>
      <c r="P39" s="9">
        <f t="shared" si="1"/>
        <v>711500</v>
      </c>
    </row>
    <row r="40" spans="1:16" ht="41.25" hidden="1" customHeight="1" x14ac:dyDescent="0.2">
      <c r="A40" s="13" t="s">
        <v>84</v>
      </c>
      <c r="B40" s="13" t="s">
        <v>85</v>
      </c>
      <c r="C40" s="13" t="s">
        <v>86</v>
      </c>
      <c r="D40" s="14" t="s">
        <v>87</v>
      </c>
      <c r="E40" s="15">
        <f t="shared" si="2"/>
        <v>13399000</v>
      </c>
      <c r="F40" s="16">
        <f>199000</f>
        <v>199000</v>
      </c>
      <c r="G40" s="17">
        <v>0</v>
      </c>
      <c r="H40" s="17">
        <v>0</v>
      </c>
      <c r="I40" s="17">
        <v>13200000</v>
      </c>
      <c r="J40" s="9">
        <f t="shared" si="3"/>
        <v>1750000</v>
      </c>
      <c r="K40" s="17">
        <f>150000+50000+500000+150000+900000</f>
        <v>1750000</v>
      </c>
      <c r="L40" s="17">
        <v>0</v>
      </c>
      <c r="M40" s="17">
        <v>0</v>
      </c>
      <c r="N40" s="17">
        <v>0</v>
      </c>
      <c r="O40" s="17">
        <f t="shared" si="4"/>
        <v>1750000</v>
      </c>
      <c r="P40" s="9">
        <f t="shared" si="1"/>
        <v>15149000</v>
      </c>
    </row>
    <row r="41" spans="1:16" ht="25.5" hidden="1" x14ac:dyDescent="0.2">
      <c r="A41" s="13" t="s">
        <v>88</v>
      </c>
      <c r="B41" s="13" t="s">
        <v>89</v>
      </c>
      <c r="C41" s="13" t="s">
        <v>90</v>
      </c>
      <c r="D41" s="14" t="s">
        <v>91</v>
      </c>
      <c r="E41" s="15">
        <f t="shared" si="2"/>
        <v>161500</v>
      </c>
      <c r="F41" s="17">
        <f>40000+121500</f>
        <v>161500</v>
      </c>
      <c r="G41" s="17">
        <v>0</v>
      </c>
      <c r="H41" s="17">
        <v>0</v>
      </c>
      <c r="I41" s="17">
        <v>0</v>
      </c>
      <c r="J41" s="9">
        <f t="shared" si="3"/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9">
        <f t="shared" si="1"/>
        <v>161500</v>
      </c>
    </row>
    <row r="42" spans="1:16" ht="25.5" hidden="1" x14ac:dyDescent="0.2">
      <c r="A42" s="13" t="s">
        <v>92</v>
      </c>
      <c r="B42" s="13" t="s">
        <v>93</v>
      </c>
      <c r="C42" s="13" t="s">
        <v>94</v>
      </c>
      <c r="D42" s="14" t="s">
        <v>95</v>
      </c>
      <c r="E42" s="15">
        <f t="shared" si="2"/>
        <v>0</v>
      </c>
      <c r="F42" s="17">
        <v>0</v>
      </c>
      <c r="G42" s="17">
        <v>0</v>
      </c>
      <c r="H42" s="17">
        <v>0</v>
      </c>
      <c r="I42" s="17">
        <v>0</v>
      </c>
      <c r="J42" s="9">
        <f t="shared" si="3"/>
        <v>50000</v>
      </c>
      <c r="K42" s="17">
        <v>50000</v>
      </c>
      <c r="L42" s="17">
        <v>0</v>
      </c>
      <c r="M42" s="17">
        <v>0</v>
      </c>
      <c r="N42" s="17">
        <v>0</v>
      </c>
      <c r="O42" s="17">
        <v>50000</v>
      </c>
      <c r="P42" s="9">
        <f t="shared" si="1"/>
        <v>50000</v>
      </c>
    </row>
    <row r="43" spans="1:16" ht="30.75" hidden="1" customHeight="1" x14ac:dyDescent="0.2">
      <c r="A43" s="99" t="s">
        <v>500</v>
      </c>
      <c r="B43" s="99" t="s">
        <v>501</v>
      </c>
      <c r="C43" s="99" t="s">
        <v>94</v>
      </c>
      <c r="D43" s="106" t="s">
        <v>502</v>
      </c>
      <c r="E43" s="15"/>
      <c r="F43" s="17"/>
      <c r="G43" s="17"/>
      <c r="H43" s="17"/>
      <c r="I43" s="17"/>
      <c r="J43" s="9">
        <f t="shared" si="3"/>
        <v>6580000</v>
      </c>
      <c r="K43" s="17">
        <f>5200000+290000+50000+200000+580000+260000</f>
        <v>6580000</v>
      </c>
      <c r="L43" s="17"/>
      <c r="M43" s="17"/>
      <c r="N43" s="17"/>
      <c r="O43" s="17">
        <f>K43</f>
        <v>6580000</v>
      </c>
      <c r="P43" s="9">
        <f t="shared" si="1"/>
        <v>6580000</v>
      </c>
    </row>
    <row r="44" spans="1:16" ht="25.5" hidden="1" x14ac:dyDescent="0.2">
      <c r="A44" s="13" t="s">
        <v>96</v>
      </c>
      <c r="B44" s="13" t="s">
        <v>97</v>
      </c>
      <c r="C44" s="13" t="s">
        <v>94</v>
      </c>
      <c r="D44" s="14" t="s">
        <v>98</v>
      </c>
      <c r="E44" s="15">
        <f t="shared" si="2"/>
        <v>425000</v>
      </c>
      <c r="F44" s="17">
        <f>175000+250000</f>
        <v>425000</v>
      </c>
      <c r="G44" s="17">
        <v>0</v>
      </c>
      <c r="H44" s="17">
        <v>0</v>
      </c>
      <c r="I44" s="17">
        <v>0</v>
      </c>
      <c r="J44" s="9">
        <f t="shared" si="3"/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9">
        <f t="shared" si="1"/>
        <v>425000</v>
      </c>
    </row>
    <row r="45" spans="1:16" ht="118.5" hidden="1" customHeight="1" x14ac:dyDescent="0.2">
      <c r="A45" s="98" t="s">
        <v>572</v>
      </c>
      <c r="B45" s="41">
        <v>7691</v>
      </c>
      <c r="C45" s="99" t="s">
        <v>94</v>
      </c>
      <c r="D45" s="25" t="s">
        <v>573</v>
      </c>
      <c r="E45" s="15">
        <f t="shared" si="2"/>
        <v>0</v>
      </c>
      <c r="F45" s="17"/>
      <c r="G45" s="17"/>
      <c r="H45" s="17"/>
      <c r="I45" s="17"/>
      <c r="J45" s="9">
        <f t="shared" si="3"/>
        <v>319999</v>
      </c>
      <c r="K45" s="17"/>
      <c r="L45" s="17"/>
      <c r="M45" s="17"/>
      <c r="N45" s="17"/>
      <c r="O45" s="17">
        <v>319999</v>
      </c>
      <c r="P45" s="9">
        <f t="shared" si="1"/>
        <v>319999</v>
      </c>
    </row>
    <row r="46" spans="1:16" ht="28.5" hidden="1" customHeight="1" x14ac:dyDescent="0.2">
      <c r="A46" s="13" t="s">
        <v>99</v>
      </c>
      <c r="B46" s="13" t="s">
        <v>100</v>
      </c>
      <c r="C46" s="13" t="s">
        <v>94</v>
      </c>
      <c r="D46" s="14" t="s">
        <v>101</v>
      </c>
      <c r="E46" s="15">
        <f t="shared" si="2"/>
        <v>455999</v>
      </c>
      <c r="F46" s="16">
        <f>175999+250000+30000</f>
        <v>455999</v>
      </c>
      <c r="G46" s="17">
        <v>0</v>
      </c>
      <c r="H46" s="17">
        <v>0</v>
      </c>
      <c r="I46" s="17"/>
      <c r="J46" s="9">
        <f t="shared" si="3"/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9">
        <f t="shared" si="1"/>
        <v>455999</v>
      </c>
    </row>
    <row r="47" spans="1:16" ht="36" customHeight="1" x14ac:dyDescent="0.2">
      <c r="A47" s="18" t="s">
        <v>102</v>
      </c>
      <c r="B47" s="18" t="s">
        <v>103</v>
      </c>
      <c r="C47" s="19" t="s">
        <v>104</v>
      </c>
      <c r="D47" s="20" t="s">
        <v>105</v>
      </c>
      <c r="E47" s="15">
        <f t="shared" si="2"/>
        <v>779286</v>
      </c>
      <c r="F47" s="16">
        <f>200000+280806+97470+201010</f>
        <v>779286</v>
      </c>
      <c r="G47" s="17"/>
      <c r="H47" s="17"/>
      <c r="I47" s="17"/>
      <c r="J47" s="9">
        <f t="shared" si="3"/>
        <v>313974</v>
      </c>
      <c r="K47" s="17">
        <f>94194+62790+136000+20990</f>
        <v>313974</v>
      </c>
      <c r="L47" s="17"/>
      <c r="M47" s="17"/>
      <c r="N47" s="17"/>
      <c r="O47" s="17">
        <f>K47</f>
        <v>313974</v>
      </c>
      <c r="P47" s="9">
        <f t="shared" si="1"/>
        <v>1093260</v>
      </c>
    </row>
    <row r="48" spans="1:16" ht="26.25" customHeight="1" x14ac:dyDescent="0.2">
      <c r="A48" s="98" t="s">
        <v>493</v>
      </c>
      <c r="B48" s="41">
        <v>8240</v>
      </c>
      <c r="C48" s="98" t="s">
        <v>494</v>
      </c>
      <c r="D48" s="99" t="s">
        <v>495</v>
      </c>
      <c r="E48" s="15">
        <f t="shared" si="2"/>
        <v>3754000</v>
      </c>
      <c r="F48" s="16">
        <f>1854000+1500000+400000</f>
        <v>3754000</v>
      </c>
      <c r="G48" s="17"/>
      <c r="H48" s="17"/>
      <c r="I48" s="17"/>
      <c r="J48" s="9">
        <f t="shared" si="3"/>
        <v>7246000</v>
      </c>
      <c r="K48" s="17">
        <f>5000000-854000+1500000+600000+1000000</f>
        <v>7246000</v>
      </c>
      <c r="L48" s="17"/>
      <c r="M48" s="17"/>
      <c r="N48" s="17"/>
      <c r="O48" s="17">
        <f>K48</f>
        <v>7246000</v>
      </c>
      <c r="P48" s="9">
        <f t="shared" si="1"/>
        <v>11000000</v>
      </c>
    </row>
    <row r="49" spans="1:16" ht="30" hidden="1" customHeight="1" x14ac:dyDescent="0.2">
      <c r="A49" s="98" t="s">
        <v>479</v>
      </c>
      <c r="B49" s="41">
        <v>8311</v>
      </c>
      <c r="C49" s="98" t="s">
        <v>480</v>
      </c>
      <c r="D49" s="25" t="s">
        <v>481</v>
      </c>
      <c r="E49" s="15">
        <f t="shared" si="2"/>
        <v>400000</v>
      </c>
      <c r="F49" s="16">
        <v>400000</v>
      </c>
      <c r="G49" s="17"/>
      <c r="H49" s="17"/>
      <c r="I49" s="17"/>
      <c r="J49" s="9">
        <f t="shared" si="3"/>
        <v>0</v>
      </c>
      <c r="K49" s="17"/>
      <c r="L49" s="17"/>
      <c r="M49" s="17"/>
      <c r="N49" s="17"/>
      <c r="O49" s="17"/>
      <c r="P49" s="9">
        <f t="shared" si="1"/>
        <v>400000</v>
      </c>
    </row>
    <row r="50" spans="1:16" ht="33" hidden="1" customHeight="1" x14ac:dyDescent="0.2">
      <c r="A50" s="18" t="s">
        <v>106</v>
      </c>
      <c r="B50" s="18" t="s">
        <v>107</v>
      </c>
      <c r="C50" s="19" t="s">
        <v>108</v>
      </c>
      <c r="D50" s="20" t="s">
        <v>109</v>
      </c>
      <c r="E50" s="15">
        <f t="shared" si="2"/>
        <v>420000</v>
      </c>
      <c r="F50" s="16">
        <f>80000+130000+40000+20000+150000</f>
        <v>420000</v>
      </c>
      <c r="G50" s="17"/>
      <c r="H50" s="17"/>
      <c r="I50" s="17"/>
      <c r="J50" s="9">
        <f t="shared" si="3"/>
        <v>0</v>
      </c>
      <c r="K50" s="17"/>
      <c r="L50" s="17"/>
      <c r="M50" s="17"/>
      <c r="N50" s="17"/>
      <c r="O50" s="17"/>
      <c r="P50" s="9">
        <f t="shared" si="1"/>
        <v>420000</v>
      </c>
    </row>
    <row r="51" spans="1:16" ht="27.75" hidden="1" customHeight="1" x14ac:dyDescent="0.2">
      <c r="A51" s="13" t="s">
        <v>110</v>
      </c>
      <c r="B51" s="13" t="s">
        <v>111</v>
      </c>
      <c r="C51" s="13" t="s">
        <v>108</v>
      </c>
      <c r="D51" s="14" t="s">
        <v>112</v>
      </c>
      <c r="E51" s="15">
        <f t="shared" si="2"/>
        <v>0</v>
      </c>
      <c r="F51" s="17">
        <v>0</v>
      </c>
      <c r="G51" s="17">
        <v>0</v>
      </c>
      <c r="H51" s="17">
        <v>0</v>
      </c>
      <c r="I51" s="17">
        <v>0</v>
      </c>
      <c r="J51" s="9">
        <f t="shared" si="3"/>
        <v>430000</v>
      </c>
      <c r="K51" s="17"/>
      <c r="L51" s="17"/>
      <c r="M51" s="17">
        <v>0</v>
      </c>
      <c r="N51" s="17">
        <v>0</v>
      </c>
      <c r="O51" s="17">
        <v>430000</v>
      </c>
      <c r="P51" s="9">
        <f t="shared" si="1"/>
        <v>430000</v>
      </c>
    </row>
    <row r="52" spans="1:16" ht="27.75" hidden="1" customHeight="1" x14ac:dyDescent="0.2">
      <c r="A52" s="98" t="s">
        <v>608</v>
      </c>
      <c r="B52" s="41">
        <v>9720</v>
      </c>
      <c r="C52" s="104" t="s">
        <v>10</v>
      </c>
      <c r="D52" s="188" t="s">
        <v>567</v>
      </c>
      <c r="E52" s="15">
        <f t="shared" si="2"/>
        <v>0</v>
      </c>
      <c r="F52" s="17"/>
      <c r="G52" s="17"/>
      <c r="H52" s="17"/>
      <c r="I52" s="17"/>
      <c r="J52" s="9">
        <f t="shared" si="3"/>
        <v>200000</v>
      </c>
      <c r="K52" s="17">
        <v>200000</v>
      </c>
      <c r="L52" s="17"/>
      <c r="M52" s="17"/>
      <c r="N52" s="17"/>
      <c r="O52" s="17">
        <f>K52</f>
        <v>200000</v>
      </c>
      <c r="P52" s="9">
        <f t="shared" si="1"/>
        <v>200000</v>
      </c>
    </row>
    <row r="53" spans="1:16" ht="27.75" hidden="1" customHeight="1" x14ac:dyDescent="0.2">
      <c r="A53" s="98" t="s">
        <v>531</v>
      </c>
      <c r="B53" s="41">
        <v>9730</v>
      </c>
      <c r="C53" s="104" t="s">
        <v>10</v>
      </c>
      <c r="D53" s="25" t="s">
        <v>533</v>
      </c>
      <c r="E53" s="15">
        <f t="shared" si="2"/>
        <v>10000000</v>
      </c>
      <c r="F53" s="17">
        <v>10000000</v>
      </c>
      <c r="G53" s="17"/>
      <c r="H53" s="17"/>
      <c r="I53" s="17"/>
      <c r="J53" s="9">
        <f t="shared" si="3"/>
        <v>0</v>
      </c>
      <c r="K53" s="17"/>
      <c r="L53" s="17"/>
      <c r="M53" s="17"/>
      <c r="N53" s="17"/>
      <c r="O53" s="17"/>
      <c r="P53" s="9">
        <f t="shared" si="1"/>
        <v>10000000</v>
      </c>
    </row>
    <row r="54" spans="1:16" ht="29.25" customHeight="1" x14ac:dyDescent="0.2">
      <c r="A54" s="102" t="s">
        <v>496</v>
      </c>
      <c r="B54" s="103">
        <v>9770</v>
      </c>
      <c r="C54" s="104" t="s">
        <v>10</v>
      </c>
      <c r="D54" s="100" t="s">
        <v>383</v>
      </c>
      <c r="E54" s="15">
        <f t="shared" si="2"/>
        <v>240000</v>
      </c>
      <c r="F54" s="17">
        <f>100000+140000</f>
        <v>240000</v>
      </c>
      <c r="G54" s="17"/>
      <c r="H54" s="17"/>
      <c r="I54" s="17"/>
      <c r="J54" s="9">
        <f t="shared" si="3"/>
        <v>0</v>
      </c>
      <c r="K54" s="17"/>
      <c r="L54" s="17"/>
      <c r="M54" s="17"/>
      <c r="N54" s="17"/>
      <c r="O54" s="17"/>
      <c r="P54" s="9">
        <f t="shared" si="1"/>
        <v>240000</v>
      </c>
    </row>
    <row r="55" spans="1:16" ht="28.5" customHeight="1" x14ac:dyDescent="0.2">
      <c r="A55" s="102" t="s">
        <v>497</v>
      </c>
      <c r="B55" s="103">
        <v>9800</v>
      </c>
      <c r="C55" s="105" t="s">
        <v>10</v>
      </c>
      <c r="D55" s="101" t="s">
        <v>499</v>
      </c>
      <c r="E55" s="15">
        <f t="shared" si="2"/>
        <v>2293000</v>
      </c>
      <c r="F55" s="17">
        <f>1593000+600000+100000</f>
        <v>2293000</v>
      </c>
      <c r="G55" s="17"/>
      <c r="H55" s="17"/>
      <c r="I55" s="172"/>
      <c r="J55" s="9">
        <f t="shared" si="3"/>
        <v>1202000</v>
      </c>
      <c r="K55" s="17">
        <v>1202000</v>
      </c>
      <c r="L55" s="17"/>
      <c r="M55" s="17"/>
      <c r="N55" s="17"/>
      <c r="O55" s="17">
        <f>K55</f>
        <v>1202000</v>
      </c>
      <c r="P55" s="9">
        <f t="shared" si="1"/>
        <v>3495000</v>
      </c>
    </row>
    <row r="56" spans="1:16" ht="27.75" customHeight="1" x14ac:dyDescent="0.2">
      <c r="A56" s="7" t="s">
        <v>113</v>
      </c>
      <c r="B56" s="7" t="s">
        <v>2</v>
      </c>
      <c r="C56" s="7" t="s">
        <v>2</v>
      </c>
      <c r="D56" s="8" t="s">
        <v>114</v>
      </c>
      <c r="E56" s="9">
        <f t="shared" si="2"/>
        <v>269529411.30000001</v>
      </c>
      <c r="F56" s="9">
        <f t="shared" ref="F56:O56" si="5">F57</f>
        <v>269529411.30000001</v>
      </c>
      <c r="G56" s="9">
        <f t="shared" si="5"/>
        <v>175580398</v>
      </c>
      <c r="H56" s="9">
        <f t="shared" si="5"/>
        <v>29413090.300000001</v>
      </c>
      <c r="I56" s="9">
        <f t="shared" si="5"/>
        <v>0</v>
      </c>
      <c r="J56" s="9">
        <f t="shared" si="5"/>
        <v>45049559.980000004</v>
      </c>
      <c r="K56" s="9">
        <f t="shared" si="5"/>
        <v>33006209.98</v>
      </c>
      <c r="L56" s="9">
        <f t="shared" si="5"/>
        <v>12043350</v>
      </c>
      <c r="M56" s="9">
        <f t="shared" si="5"/>
        <v>560500</v>
      </c>
      <c r="N56" s="9">
        <f t="shared" si="5"/>
        <v>0</v>
      </c>
      <c r="O56" s="9">
        <f t="shared" si="5"/>
        <v>33006209.98</v>
      </c>
      <c r="P56" s="9">
        <f t="shared" si="1"/>
        <v>314578971.28000003</v>
      </c>
    </row>
    <row r="57" spans="1:16" ht="26.25" customHeight="1" x14ac:dyDescent="0.2">
      <c r="A57" s="10" t="s">
        <v>115</v>
      </c>
      <c r="B57" s="10" t="s">
        <v>2</v>
      </c>
      <c r="C57" s="10" t="s">
        <v>2</v>
      </c>
      <c r="D57" s="11" t="s">
        <v>114</v>
      </c>
      <c r="E57" s="12">
        <f t="shared" si="2"/>
        <v>269529411.30000001</v>
      </c>
      <c r="F57" s="12">
        <f>SUM(F58:F86)</f>
        <v>269529411.30000001</v>
      </c>
      <c r="G57" s="12">
        <f>SUM(G58:G85)</f>
        <v>175580398</v>
      </c>
      <c r="H57" s="12">
        <f>SUM(H58:H85)</f>
        <v>29413090.300000001</v>
      </c>
      <c r="I57" s="12">
        <f>SUM(I58:I85)</f>
        <v>0</v>
      </c>
      <c r="J57" s="12">
        <f t="shared" ref="J57:J86" si="6">L57+O57</f>
        <v>45049559.980000004</v>
      </c>
      <c r="K57" s="12">
        <f>SUM(K58:K88)</f>
        <v>33006209.98</v>
      </c>
      <c r="L57" s="12">
        <f>SUM(L58:L87)</f>
        <v>12043350</v>
      </c>
      <c r="M57" s="12">
        <f>SUM(M58:M87)</f>
        <v>560500</v>
      </c>
      <c r="N57" s="12">
        <f>SUM(N58:N87)</f>
        <v>0</v>
      </c>
      <c r="O57" s="12">
        <f>SUM(O58:O88)</f>
        <v>33006209.98</v>
      </c>
      <c r="P57" s="9">
        <f t="shared" ref="P57:P92" si="7">E57+J57</f>
        <v>314578971.28000003</v>
      </c>
    </row>
    <row r="58" spans="1:16" ht="39.75" customHeight="1" x14ac:dyDescent="0.2">
      <c r="A58" s="13" t="s">
        <v>116</v>
      </c>
      <c r="B58" s="13" t="s">
        <v>117</v>
      </c>
      <c r="C58" s="13" t="s">
        <v>7</v>
      </c>
      <c r="D58" s="14" t="s">
        <v>118</v>
      </c>
      <c r="E58" s="9">
        <f t="shared" si="2"/>
        <v>1595900</v>
      </c>
      <c r="F58" s="16">
        <f>1493000+2500+15000+85400</f>
        <v>1595900</v>
      </c>
      <c r="G58" s="16">
        <f>1200000+70000</f>
        <v>1270000</v>
      </c>
      <c r="H58" s="16">
        <v>2500</v>
      </c>
      <c r="I58" s="17">
        <v>0</v>
      </c>
      <c r="J58" s="9">
        <f t="shared" si="6"/>
        <v>0</v>
      </c>
      <c r="K58" s="17"/>
      <c r="L58" s="17">
        <v>0</v>
      </c>
      <c r="M58" s="17">
        <v>0</v>
      </c>
      <c r="N58" s="17">
        <v>0</v>
      </c>
      <c r="O58" s="17">
        <f>K58</f>
        <v>0</v>
      </c>
      <c r="P58" s="9">
        <f t="shared" si="7"/>
        <v>1595900</v>
      </c>
    </row>
    <row r="59" spans="1:16" ht="20.25" customHeight="1" x14ac:dyDescent="0.2">
      <c r="A59" s="13" t="s">
        <v>119</v>
      </c>
      <c r="B59" s="13" t="s">
        <v>45</v>
      </c>
      <c r="C59" s="13" t="s">
        <v>120</v>
      </c>
      <c r="D59" s="14" t="s">
        <v>121</v>
      </c>
      <c r="E59" s="9">
        <f t="shared" ref="E59:E86" si="8">F59+I59</f>
        <v>37734100</v>
      </c>
      <c r="F59" s="16">
        <f>36814700+519400+400000</f>
        <v>37734100</v>
      </c>
      <c r="G59" s="16">
        <f>22186100+433000</f>
        <v>22619100</v>
      </c>
      <c r="H59" s="16">
        <v>7410700</v>
      </c>
      <c r="I59" s="17">
        <v>0</v>
      </c>
      <c r="J59" s="9">
        <f t="shared" si="6"/>
        <v>8822709</v>
      </c>
      <c r="K59" s="17">
        <f>979534+99750+50000</f>
        <v>1129284</v>
      </c>
      <c r="L59" s="16">
        <v>7693425</v>
      </c>
      <c r="M59" s="17">
        <v>0</v>
      </c>
      <c r="N59" s="17">
        <v>0</v>
      </c>
      <c r="O59" s="17">
        <f>K59</f>
        <v>1129284</v>
      </c>
      <c r="P59" s="9">
        <f t="shared" si="7"/>
        <v>46556809</v>
      </c>
    </row>
    <row r="60" spans="1:16" ht="61.5" customHeight="1" x14ac:dyDescent="0.2">
      <c r="A60" s="13" t="s">
        <v>122</v>
      </c>
      <c r="B60" s="13" t="s">
        <v>123</v>
      </c>
      <c r="C60" s="13" t="s">
        <v>124</v>
      </c>
      <c r="D60" s="14" t="s">
        <v>196</v>
      </c>
      <c r="E60" s="9">
        <f t="shared" si="8"/>
        <v>69682895.299999997</v>
      </c>
      <c r="F60" s="16">
        <f>64913345+1740705+220000+74401.32-99750+404400+645000+1177600-220000-117900+145093.98+800000</f>
        <v>69682895.299999997</v>
      </c>
      <c r="G60" s="16">
        <f>28859300+965300</f>
        <v>29824600</v>
      </c>
      <c r="H60" s="16">
        <v>18260490.300000001</v>
      </c>
      <c r="I60" s="17">
        <v>0</v>
      </c>
      <c r="J60" s="9">
        <f t="shared" si="6"/>
        <v>10835318.77</v>
      </c>
      <c r="K60" s="17">
        <f>2439015.77+950000+1220466+850000+300000+1145812+220000+117900</f>
        <v>7243193.7699999996</v>
      </c>
      <c r="L60" s="16">
        <v>3592125</v>
      </c>
      <c r="M60" s="17">
        <v>0</v>
      </c>
      <c r="N60" s="17">
        <v>0</v>
      </c>
      <c r="O60" s="17">
        <f>K60</f>
        <v>7243193.7699999996</v>
      </c>
      <c r="P60" s="9">
        <f t="shared" si="7"/>
        <v>80518214.069999993</v>
      </c>
    </row>
    <row r="61" spans="1:16" ht="41.25" hidden="1" customHeight="1" x14ac:dyDescent="0.2">
      <c r="A61" s="13" t="s">
        <v>125</v>
      </c>
      <c r="B61" s="13" t="s">
        <v>126</v>
      </c>
      <c r="C61" s="13" t="s">
        <v>124</v>
      </c>
      <c r="D61" s="14" t="s">
        <v>197</v>
      </c>
      <c r="E61" s="9">
        <f t="shared" si="8"/>
        <v>109673500</v>
      </c>
      <c r="F61" s="17">
        <v>109673500</v>
      </c>
      <c r="G61" s="17">
        <v>89896300</v>
      </c>
      <c r="H61" s="17">
        <v>0</v>
      </c>
      <c r="I61" s="17">
        <v>0</v>
      </c>
      <c r="J61" s="9">
        <f t="shared" si="6"/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9">
        <f t="shared" si="7"/>
        <v>109673500</v>
      </c>
    </row>
    <row r="62" spans="1:16" ht="44.25" customHeight="1" x14ac:dyDescent="0.2">
      <c r="A62" s="13" t="s">
        <v>127</v>
      </c>
      <c r="B62" s="13" t="s">
        <v>31</v>
      </c>
      <c r="C62" s="13" t="s">
        <v>128</v>
      </c>
      <c r="D62" s="14" t="s">
        <v>129</v>
      </c>
      <c r="E62" s="9">
        <f t="shared" si="8"/>
        <v>3302200</v>
      </c>
      <c r="F62" s="16">
        <f>2608300+561000+132900</f>
        <v>3302200</v>
      </c>
      <c r="G62" s="16">
        <f>1400000+126400</f>
        <v>1526400</v>
      </c>
      <c r="H62" s="16">
        <v>662700</v>
      </c>
      <c r="I62" s="17">
        <v>0</v>
      </c>
      <c r="J62" s="9">
        <f t="shared" si="6"/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9">
        <f t="shared" si="7"/>
        <v>3302200</v>
      </c>
    </row>
    <row r="63" spans="1:16" ht="25.5" hidden="1" x14ac:dyDescent="0.2">
      <c r="A63" s="13" t="s">
        <v>130</v>
      </c>
      <c r="B63" s="13" t="s">
        <v>131</v>
      </c>
      <c r="C63" s="13" t="s">
        <v>128</v>
      </c>
      <c r="D63" s="14" t="s">
        <v>132</v>
      </c>
      <c r="E63" s="9">
        <f t="shared" si="8"/>
        <v>12965800</v>
      </c>
      <c r="F63" s="16">
        <f>12975800-10000</f>
        <v>12965800</v>
      </c>
      <c r="G63" s="16">
        <v>10272500</v>
      </c>
      <c r="H63" s="16">
        <v>251600</v>
      </c>
      <c r="I63" s="17">
        <v>0</v>
      </c>
      <c r="J63" s="9">
        <f t="shared" si="6"/>
        <v>761800</v>
      </c>
      <c r="K63" s="17">
        <v>78000</v>
      </c>
      <c r="L63" s="16">
        <v>683800</v>
      </c>
      <c r="M63" s="16">
        <v>560500</v>
      </c>
      <c r="N63" s="17">
        <v>0</v>
      </c>
      <c r="O63" s="17">
        <f>K63</f>
        <v>78000</v>
      </c>
      <c r="P63" s="9">
        <f t="shared" si="7"/>
        <v>13727600</v>
      </c>
    </row>
    <row r="64" spans="1:16" ht="25.5" hidden="1" x14ac:dyDescent="0.2">
      <c r="A64" s="13" t="s">
        <v>133</v>
      </c>
      <c r="B64" s="13" t="s">
        <v>134</v>
      </c>
      <c r="C64" s="13" t="s">
        <v>135</v>
      </c>
      <c r="D64" s="14" t="s">
        <v>136</v>
      </c>
      <c r="E64" s="9">
        <f t="shared" si="8"/>
        <v>6674900</v>
      </c>
      <c r="F64" s="16">
        <f>6333100-44000+385800</f>
        <v>6674900</v>
      </c>
      <c r="G64" s="16">
        <f>4544100+341000</f>
        <v>4885100</v>
      </c>
      <c r="H64" s="16">
        <f>328000-44000</f>
        <v>284000</v>
      </c>
      <c r="I64" s="17">
        <v>0</v>
      </c>
      <c r="J64" s="9">
        <f t="shared" si="6"/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9">
        <f t="shared" si="7"/>
        <v>6674900</v>
      </c>
    </row>
    <row r="65" spans="1:16" hidden="1" x14ac:dyDescent="0.2">
      <c r="A65" s="13" t="s">
        <v>137</v>
      </c>
      <c r="B65" s="13" t="s">
        <v>138</v>
      </c>
      <c r="C65" s="13" t="s">
        <v>135</v>
      </c>
      <c r="D65" s="14" t="s">
        <v>139</v>
      </c>
      <c r="E65" s="9">
        <f t="shared" si="8"/>
        <v>20000</v>
      </c>
      <c r="F65" s="16">
        <f>15000+5000</f>
        <v>20000</v>
      </c>
      <c r="G65" s="16"/>
      <c r="H65" s="16"/>
      <c r="I65" s="17">
        <v>0</v>
      </c>
      <c r="J65" s="9">
        <f t="shared" si="6"/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9">
        <f t="shared" si="7"/>
        <v>20000</v>
      </c>
    </row>
    <row r="66" spans="1:16" ht="38.25" hidden="1" x14ac:dyDescent="0.2">
      <c r="A66" s="13" t="s">
        <v>140</v>
      </c>
      <c r="B66" s="13" t="s">
        <v>141</v>
      </c>
      <c r="C66" s="13" t="s">
        <v>135</v>
      </c>
      <c r="D66" s="14" t="s">
        <v>142</v>
      </c>
      <c r="E66" s="9">
        <f t="shared" si="8"/>
        <v>54190</v>
      </c>
      <c r="F66" s="16">
        <f>52150+56000-53960</f>
        <v>54190</v>
      </c>
      <c r="G66" s="16">
        <v>25200</v>
      </c>
      <c r="H66" s="16"/>
      <c r="I66" s="17">
        <v>0</v>
      </c>
      <c r="J66" s="9">
        <f t="shared" si="6"/>
        <v>53960</v>
      </c>
      <c r="K66" s="17">
        <v>53960</v>
      </c>
      <c r="L66" s="17">
        <v>0</v>
      </c>
      <c r="M66" s="17">
        <v>0</v>
      </c>
      <c r="N66" s="17">
        <v>0</v>
      </c>
      <c r="O66" s="17">
        <f>K66</f>
        <v>53960</v>
      </c>
      <c r="P66" s="9">
        <f t="shared" si="7"/>
        <v>108150</v>
      </c>
    </row>
    <row r="67" spans="1:16" ht="38.25" hidden="1" x14ac:dyDescent="0.2">
      <c r="A67" s="21" t="s">
        <v>143</v>
      </c>
      <c r="B67" s="21">
        <v>1152</v>
      </c>
      <c r="C67" s="13" t="s">
        <v>135</v>
      </c>
      <c r="D67" s="14" t="s">
        <v>144</v>
      </c>
      <c r="E67" s="9">
        <f t="shared" si="8"/>
        <v>1495000</v>
      </c>
      <c r="F67" s="17">
        <v>1495000</v>
      </c>
      <c r="G67" s="17">
        <v>1225400</v>
      </c>
      <c r="H67" s="17"/>
      <c r="I67" s="17"/>
      <c r="J67" s="9">
        <f t="shared" si="6"/>
        <v>0</v>
      </c>
      <c r="K67" s="17"/>
      <c r="L67" s="17"/>
      <c r="M67" s="17"/>
      <c r="N67" s="17"/>
      <c r="O67" s="17"/>
      <c r="P67" s="9">
        <f t="shared" si="7"/>
        <v>1495000</v>
      </c>
    </row>
    <row r="68" spans="1:16" ht="38.25" hidden="1" x14ac:dyDescent="0.2">
      <c r="A68" s="13" t="s">
        <v>145</v>
      </c>
      <c r="B68" s="13" t="s">
        <v>146</v>
      </c>
      <c r="C68" s="13" t="s">
        <v>135</v>
      </c>
      <c r="D68" s="14" t="s">
        <v>147</v>
      </c>
      <c r="E68" s="9">
        <f t="shared" si="8"/>
        <v>1026220</v>
      </c>
      <c r="F68" s="16">
        <f>1028720-2500</f>
        <v>1026220</v>
      </c>
      <c r="G68" s="16">
        <v>810100</v>
      </c>
      <c r="H68" s="16">
        <f>5100-2500</f>
        <v>2600</v>
      </c>
      <c r="I68" s="17">
        <v>0</v>
      </c>
      <c r="J68" s="9">
        <f t="shared" si="6"/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9">
        <f t="shared" si="7"/>
        <v>1026220</v>
      </c>
    </row>
    <row r="69" spans="1:16" ht="55.5" hidden="1" customHeight="1" x14ac:dyDescent="0.2">
      <c r="A69" s="22" t="s">
        <v>148</v>
      </c>
      <c r="B69" s="22">
        <v>1200</v>
      </c>
      <c r="C69" s="13" t="s">
        <v>135</v>
      </c>
      <c r="D69" s="14" t="s">
        <v>149</v>
      </c>
      <c r="E69" s="9">
        <f t="shared" si="8"/>
        <v>324000</v>
      </c>
      <c r="F69" s="17">
        <v>324000</v>
      </c>
      <c r="G69" s="17">
        <v>172951</v>
      </c>
      <c r="H69" s="17"/>
      <c r="I69" s="17"/>
      <c r="J69" s="9">
        <f t="shared" si="6"/>
        <v>0</v>
      </c>
      <c r="K69" s="17"/>
      <c r="L69" s="17"/>
      <c r="M69" s="17"/>
      <c r="N69" s="17"/>
      <c r="O69" s="17"/>
      <c r="P69" s="9">
        <f t="shared" si="7"/>
        <v>324000</v>
      </c>
    </row>
    <row r="70" spans="1:16" ht="65.25" hidden="1" customHeight="1" x14ac:dyDescent="0.2">
      <c r="A70" s="98" t="s">
        <v>600</v>
      </c>
      <c r="B70" s="98" t="s">
        <v>601</v>
      </c>
      <c r="C70" s="99" t="s">
        <v>135</v>
      </c>
      <c r="D70" s="183" t="s">
        <v>604</v>
      </c>
      <c r="E70" s="9">
        <f t="shared" si="8"/>
        <v>0</v>
      </c>
      <c r="F70" s="17"/>
      <c r="G70" s="17"/>
      <c r="H70" s="17"/>
      <c r="I70" s="17"/>
      <c r="J70" s="9">
        <f t="shared" si="6"/>
        <v>250000</v>
      </c>
      <c r="K70" s="17">
        <v>250000</v>
      </c>
      <c r="L70" s="17"/>
      <c r="M70" s="17"/>
      <c r="N70" s="17"/>
      <c r="O70" s="17">
        <f>K70</f>
        <v>250000</v>
      </c>
      <c r="P70" s="9">
        <f t="shared" si="7"/>
        <v>250000</v>
      </c>
    </row>
    <row r="71" spans="1:16" ht="53.25" hidden="1" customHeight="1" x14ac:dyDescent="0.2">
      <c r="A71" s="98" t="s">
        <v>230</v>
      </c>
      <c r="B71" s="98" t="s">
        <v>606</v>
      </c>
      <c r="C71" s="99" t="s">
        <v>135</v>
      </c>
      <c r="D71" s="25" t="s">
        <v>607</v>
      </c>
      <c r="E71" s="9">
        <f t="shared" si="8"/>
        <v>0</v>
      </c>
      <c r="F71" s="17"/>
      <c r="G71" s="17"/>
      <c r="H71" s="17"/>
      <c r="I71" s="17"/>
      <c r="J71" s="9">
        <f t="shared" si="6"/>
        <v>700000</v>
      </c>
      <c r="K71" s="17">
        <v>700000</v>
      </c>
      <c r="L71" s="17"/>
      <c r="M71" s="17"/>
      <c r="N71" s="17"/>
      <c r="O71" s="17">
        <f>K71</f>
        <v>700000</v>
      </c>
      <c r="P71" s="9">
        <f t="shared" si="7"/>
        <v>700000</v>
      </c>
    </row>
    <row r="72" spans="1:16" ht="27" hidden="1" customHeight="1" x14ac:dyDescent="0.2">
      <c r="A72" s="13" t="s">
        <v>150</v>
      </c>
      <c r="B72" s="13" t="s">
        <v>151</v>
      </c>
      <c r="C72" s="13" t="s">
        <v>41</v>
      </c>
      <c r="D72" s="14" t="s">
        <v>152</v>
      </c>
      <c r="E72" s="9">
        <f t="shared" si="8"/>
        <v>125400</v>
      </c>
      <c r="F72" s="16">
        <f>75400+50000</f>
        <v>125400</v>
      </c>
      <c r="G72" s="16"/>
      <c r="H72" s="16"/>
      <c r="I72" s="17">
        <v>0</v>
      </c>
      <c r="J72" s="9">
        <f t="shared" si="6"/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9">
        <f t="shared" si="7"/>
        <v>125400</v>
      </c>
    </row>
    <row r="73" spans="1:16" ht="15.75" customHeight="1" x14ac:dyDescent="0.2">
      <c r="A73" s="13" t="s">
        <v>153</v>
      </c>
      <c r="B73" s="13" t="s">
        <v>154</v>
      </c>
      <c r="C73" s="13" t="s">
        <v>155</v>
      </c>
      <c r="D73" s="14" t="s">
        <v>156</v>
      </c>
      <c r="E73" s="9">
        <f t="shared" si="8"/>
        <v>3841100</v>
      </c>
      <c r="F73" s="16">
        <f>3514700+19000+58200+249200</f>
        <v>3841100</v>
      </c>
      <c r="G73" s="16">
        <v>2651900</v>
      </c>
      <c r="H73" s="16">
        <v>188400</v>
      </c>
      <c r="I73" s="17">
        <v>0</v>
      </c>
      <c r="J73" s="9">
        <f t="shared" si="6"/>
        <v>432800</v>
      </c>
      <c r="K73" s="17">
        <f>150000+282800</f>
        <v>432800</v>
      </c>
      <c r="L73" s="17">
        <v>0</v>
      </c>
      <c r="M73" s="17">
        <v>0</v>
      </c>
      <c r="N73" s="17">
        <v>0</v>
      </c>
      <c r="O73" s="17">
        <f>K73</f>
        <v>432800</v>
      </c>
      <c r="P73" s="9">
        <f t="shared" si="7"/>
        <v>4273900</v>
      </c>
    </row>
    <row r="74" spans="1:16" ht="17.25" hidden="1" customHeight="1" x14ac:dyDescent="0.2">
      <c r="A74" s="13" t="s">
        <v>157</v>
      </c>
      <c r="B74" s="13" t="s">
        <v>158</v>
      </c>
      <c r="C74" s="13" t="s">
        <v>155</v>
      </c>
      <c r="D74" s="14" t="s">
        <v>159</v>
      </c>
      <c r="E74" s="9">
        <f t="shared" si="8"/>
        <v>388557</v>
      </c>
      <c r="F74" s="16">
        <f>354800+53457-28300-14000+22600</f>
        <v>388557</v>
      </c>
      <c r="G74" s="16">
        <f>141000+15128+18600</f>
        <v>174728</v>
      </c>
      <c r="H74" s="16">
        <v>35700</v>
      </c>
      <c r="I74" s="17">
        <v>0</v>
      </c>
      <c r="J74" s="9">
        <f t="shared" si="6"/>
        <v>34300</v>
      </c>
      <c r="K74" s="17">
        <v>28300</v>
      </c>
      <c r="L74" s="16">
        <v>6000</v>
      </c>
      <c r="M74" s="17">
        <v>0</v>
      </c>
      <c r="N74" s="17">
        <v>0</v>
      </c>
      <c r="O74" s="17">
        <f>K74</f>
        <v>28300</v>
      </c>
      <c r="P74" s="9">
        <f t="shared" si="7"/>
        <v>422857</v>
      </c>
    </row>
    <row r="75" spans="1:16" ht="44.25" customHeight="1" x14ac:dyDescent="0.2">
      <c r="A75" s="13" t="s">
        <v>160</v>
      </c>
      <c r="B75" s="13" t="s">
        <v>161</v>
      </c>
      <c r="C75" s="13" t="s">
        <v>162</v>
      </c>
      <c r="D75" s="14" t="s">
        <v>163</v>
      </c>
      <c r="E75" s="9">
        <f t="shared" si="8"/>
        <v>9117100</v>
      </c>
      <c r="F75" s="16">
        <f>7887000+800000-40000-148000+618100</f>
        <v>9117100</v>
      </c>
      <c r="G75" s="16">
        <f>4502400+384300</f>
        <v>4886700</v>
      </c>
      <c r="H75" s="16">
        <f>2054100-148000</f>
        <v>1906100</v>
      </c>
      <c r="I75" s="17">
        <v>0</v>
      </c>
      <c r="J75" s="9">
        <f t="shared" si="6"/>
        <v>770000</v>
      </c>
      <c r="K75" s="17">
        <f>540000+162000</f>
        <v>702000</v>
      </c>
      <c r="L75" s="16">
        <v>68000</v>
      </c>
      <c r="M75" s="17">
        <v>0</v>
      </c>
      <c r="N75" s="17">
        <v>0</v>
      </c>
      <c r="O75" s="17">
        <f>K75</f>
        <v>702000</v>
      </c>
      <c r="P75" s="9">
        <f t="shared" si="7"/>
        <v>9887100</v>
      </c>
    </row>
    <row r="76" spans="1:16" ht="25.5" hidden="1" x14ac:dyDescent="0.2">
      <c r="A76" s="13" t="s">
        <v>164</v>
      </c>
      <c r="B76" s="13" t="s">
        <v>165</v>
      </c>
      <c r="C76" s="13" t="s">
        <v>166</v>
      </c>
      <c r="D76" s="14" t="s">
        <v>167</v>
      </c>
      <c r="E76" s="9">
        <f t="shared" si="8"/>
        <v>561400</v>
      </c>
      <c r="F76" s="16">
        <v>561400</v>
      </c>
      <c r="G76" s="16">
        <v>460200</v>
      </c>
      <c r="H76" s="16"/>
      <c r="I76" s="17">
        <v>0</v>
      </c>
      <c r="J76" s="9">
        <f t="shared" si="6"/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9">
        <f t="shared" si="7"/>
        <v>561400</v>
      </c>
    </row>
    <row r="77" spans="1:16" hidden="1" x14ac:dyDescent="0.2">
      <c r="A77" s="13" t="s">
        <v>168</v>
      </c>
      <c r="B77" s="13" t="s">
        <v>169</v>
      </c>
      <c r="C77" s="13" t="s">
        <v>166</v>
      </c>
      <c r="D77" s="14" t="s">
        <v>170</v>
      </c>
      <c r="E77" s="9">
        <f t="shared" si="8"/>
        <v>500000</v>
      </c>
      <c r="F77" s="16">
        <v>500000</v>
      </c>
      <c r="G77" s="16"/>
      <c r="H77" s="16"/>
      <c r="I77" s="17">
        <v>0</v>
      </c>
      <c r="J77" s="9">
        <f t="shared" si="6"/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9">
        <f t="shared" si="7"/>
        <v>500000</v>
      </c>
    </row>
    <row r="78" spans="1:16" ht="35.25" hidden="1" customHeight="1" x14ac:dyDescent="0.2">
      <c r="A78" s="13" t="s">
        <v>171</v>
      </c>
      <c r="B78" s="13" t="s">
        <v>172</v>
      </c>
      <c r="C78" s="13" t="s">
        <v>173</v>
      </c>
      <c r="D78" s="14" t="s">
        <v>174</v>
      </c>
      <c r="E78" s="9">
        <f t="shared" si="8"/>
        <v>538400</v>
      </c>
      <c r="F78" s="16">
        <f>278400+150000+60000+50000</f>
        <v>538400</v>
      </c>
      <c r="G78" s="16"/>
      <c r="H78" s="16"/>
      <c r="I78" s="17">
        <v>0</v>
      </c>
      <c r="J78" s="9">
        <f t="shared" si="6"/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9">
        <f t="shared" si="7"/>
        <v>538400</v>
      </c>
    </row>
    <row r="79" spans="1:16" ht="35.25" hidden="1" customHeight="1" x14ac:dyDescent="0.2">
      <c r="A79" s="13" t="s">
        <v>175</v>
      </c>
      <c r="B79" s="13" t="s">
        <v>176</v>
      </c>
      <c r="C79" s="13" t="s">
        <v>173</v>
      </c>
      <c r="D79" s="14" t="s">
        <v>177</v>
      </c>
      <c r="E79" s="9">
        <f t="shared" si="8"/>
        <v>156000</v>
      </c>
      <c r="F79" s="16">
        <f>106000+50000</f>
        <v>156000</v>
      </c>
      <c r="G79" s="16"/>
      <c r="H79" s="16"/>
      <c r="I79" s="17">
        <v>0</v>
      </c>
      <c r="J79" s="9">
        <f t="shared" si="6"/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9">
        <f t="shared" si="7"/>
        <v>156000</v>
      </c>
    </row>
    <row r="80" spans="1:16" ht="33.75" hidden="1" customHeight="1" x14ac:dyDescent="0.2">
      <c r="A80" s="13" t="s">
        <v>178</v>
      </c>
      <c r="B80" s="13" t="s">
        <v>179</v>
      </c>
      <c r="C80" s="13" t="s">
        <v>173</v>
      </c>
      <c r="D80" s="14" t="s">
        <v>181</v>
      </c>
      <c r="E80" s="9">
        <f t="shared" si="8"/>
        <v>2279300</v>
      </c>
      <c r="F80" s="16">
        <f>2169300+110000</f>
        <v>2279300</v>
      </c>
      <c r="G80" s="16">
        <v>1660000</v>
      </c>
      <c r="H80" s="16">
        <v>8300</v>
      </c>
      <c r="I80" s="17">
        <v>0</v>
      </c>
      <c r="J80" s="9">
        <f t="shared" si="6"/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9">
        <f t="shared" si="7"/>
        <v>2279300</v>
      </c>
    </row>
    <row r="81" spans="1:16" ht="41.25" hidden="1" customHeight="1" x14ac:dyDescent="0.2">
      <c r="A81" s="98" t="s">
        <v>588</v>
      </c>
      <c r="B81" s="41">
        <v>5049</v>
      </c>
      <c r="C81" s="99" t="s">
        <v>173</v>
      </c>
      <c r="D81" s="25" t="s">
        <v>589</v>
      </c>
      <c r="E81" s="9">
        <f t="shared" si="8"/>
        <v>78464</v>
      </c>
      <c r="F81" s="16">
        <v>78464</v>
      </c>
      <c r="G81" s="16">
        <v>64314</v>
      </c>
      <c r="H81" s="16"/>
      <c r="I81" s="17"/>
      <c r="J81" s="9">
        <f t="shared" si="6"/>
        <v>0</v>
      </c>
      <c r="K81" s="17"/>
      <c r="L81" s="17"/>
      <c r="M81" s="17"/>
      <c r="N81" s="17"/>
      <c r="O81" s="17"/>
      <c r="P81" s="9">
        <f t="shared" si="7"/>
        <v>78464</v>
      </c>
    </row>
    <row r="82" spans="1:16" ht="51" hidden="1" x14ac:dyDescent="0.2">
      <c r="A82" s="13" t="s">
        <v>182</v>
      </c>
      <c r="B82" s="13" t="s">
        <v>183</v>
      </c>
      <c r="C82" s="13" t="s">
        <v>173</v>
      </c>
      <c r="D82" s="14" t="s">
        <v>184</v>
      </c>
      <c r="E82" s="9">
        <f t="shared" si="8"/>
        <v>5874985</v>
      </c>
      <c r="F82" s="16">
        <f>4648985+400000+400000+120000+306000</f>
        <v>5874985</v>
      </c>
      <c r="G82" s="16">
        <v>3154905</v>
      </c>
      <c r="H82" s="16">
        <v>400000</v>
      </c>
      <c r="I82" s="17">
        <v>0</v>
      </c>
      <c r="J82" s="9">
        <f t="shared" si="6"/>
        <v>30000</v>
      </c>
      <c r="K82" s="17">
        <v>30000</v>
      </c>
      <c r="L82" s="17">
        <v>0</v>
      </c>
      <c r="M82" s="17">
        <v>0</v>
      </c>
      <c r="N82" s="17">
        <v>0</v>
      </c>
      <c r="O82" s="17">
        <f>K82</f>
        <v>30000</v>
      </c>
      <c r="P82" s="9">
        <f t="shared" si="7"/>
        <v>5904985</v>
      </c>
    </row>
    <row r="83" spans="1:16" ht="39.75" hidden="1" customHeight="1" x14ac:dyDescent="0.2">
      <c r="A83" s="102" t="s">
        <v>505</v>
      </c>
      <c r="B83" s="103">
        <v>5062</v>
      </c>
      <c r="C83" s="24" t="s">
        <v>173</v>
      </c>
      <c r="D83" s="34" t="s">
        <v>506</v>
      </c>
      <c r="E83" s="9">
        <f t="shared" si="8"/>
        <v>1520000</v>
      </c>
      <c r="F83" s="16">
        <f>1370000+150000</f>
        <v>1520000</v>
      </c>
      <c r="G83" s="16"/>
      <c r="H83" s="16"/>
      <c r="I83" s="17"/>
      <c r="J83" s="9">
        <f t="shared" si="6"/>
        <v>0</v>
      </c>
      <c r="K83" s="17"/>
      <c r="L83" s="17"/>
      <c r="M83" s="17"/>
      <c r="N83" s="17"/>
      <c r="O83" s="17"/>
      <c r="P83" s="9">
        <f t="shared" si="7"/>
        <v>1520000</v>
      </c>
    </row>
    <row r="84" spans="1:16" ht="21" hidden="1" customHeight="1" x14ac:dyDescent="0.2">
      <c r="A84" s="102" t="s">
        <v>489</v>
      </c>
      <c r="B84" s="103">
        <v>7321</v>
      </c>
      <c r="C84" s="24" t="s">
        <v>79</v>
      </c>
      <c r="D84" s="34" t="s">
        <v>507</v>
      </c>
      <c r="E84" s="9">
        <f t="shared" si="8"/>
        <v>0</v>
      </c>
      <c r="F84" s="16"/>
      <c r="G84" s="16"/>
      <c r="H84" s="16"/>
      <c r="I84" s="17"/>
      <c r="J84" s="9">
        <f t="shared" si="6"/>
        <v>11144975.210000001</v>
      </c>
      <c r="K84" s="17">
        <f>1522338.21+4600000+5022637</f>
        <v>11144975.210000001</v>
      </c>
      <c r="L84" s="17"/>
      <c r="M84" s="17"/>
      <c r="N84" s="17"/>
      <c r="O84" s="17">
        <f>K84</f>
        <v>11144975.210000001</v>
      </c>
      <c r="P84" s="9">
        <f t="shared" si="7"/>
        <v>11144975.210000001</v>
      </c>
    </row>
    <row r="85" spans="1:16" ht="25.5" hidden="1" x14ac:dyDescent="0.2">
      <c r="A85" s="102" t="s">
        <v>508</v>
      </c>
      <c r="B85" s="109" t="s">
        <v>82</v>
      </c>
      <c r="C85" s="109" t="s">
        <v>79</v>
      </c>
      <c r="D85" s="110" t="s">
        <v>83</v>
      </c>
      <c r="E85" s="9">
        <f t="shared" si="8"/>
        <v>0</v>
      </c>
      <c r="F85" s="16"/>
      <c r="G85" s="16"/>
      <c r="H85" s="16"/>
      <c r="I85" s="17"/>
      <c r="J85" s="9">
        <f t="shared" si="6"/>
        <v>35000</v>
      </c>
      <c r="K85" s="17">
        <v>35000</v>
      </c>
      <c r="L85" s="17"/>
      <c r="M85" s="17"/>
      <c r="N85" s="17"/>
      <c r="O85" s="17">
        <f>K85</f>
        <v>35000</v>
      </c>
      <c r="P85" s="9">
        <f t="shared" si="7"/>
        <v>35000</v>
      </c>
    </row>
    <row r="86" spans="1:16" ht="42.75" hidden="1" customHeight="1" x14ac:dyDescent="0.2">
      <c r="A86" s="166" t="s">
        <v>568</v>
      </c>
      <c r="B86" s="41">
        <v>7363</v>
      </c>
      <c r="C86" s="98" t="s">
        <v>94</v>
      </c>
      <c r="D86" s="34" t="s">
        <v>569</v>
      </c>
      <c r="E86" s="9">
        <f t="shared" si="8"/>
        <v>0</v>
      </c>
      <c r="F86" s="16"/>
      <c r="G86" s="16"/>
      <c r="H86" s="16"/>
      <c r="I86" s="17"/>
      <c r="J86" s="9">
        <f t="shared" si="6"/>
        <v>171731</v>
      </c>
      <c r="K86" s="17">
        <v>171731</v>
      </c>
      <c r="L86" s="17"/>
      <c r="M86" s="17"/>
      <c r="N86" s="17"/>
      <c r="O86" s="17">
        <f>K86</f>
        <v>171731</v>
      </c>
      <c r="P86" s="9">
        <f t="shared" si="7"/>
        <v>171731</v>
      </c>
    </row>
    <row r="87" spans="1:16" ht="30" hidden="1" customHeight="1" x14ac:dyDescent="0.2">
      <c r="A87" s="166" t="s">
        <v>584</v>
      </c>
      <c r="B87" s="41">
        <v>7368</v>
      </c>
      <c r="C87" s="98" t="s">
        <v>94</v>
      </c>
      <c r="D87" s="25" t="s">
        <v>585</v>
      </c>
      <c r="E87" s="9">
        <f>F87+I87</f>
        <v>0</v>
      </c>
      <c r="F87" s="16"/>
      <c r="G87" s="16"/>
      <c r="H87" s="16"/>
      <c r="I87" s="17"/>
      <c r="J87" s="9">
        <f>L87+O87</f>
        <v>9456966</v>
      </c>
      <c r="K87" s="167">
        <v>9456966</v>
      </c>
      <c r="L87" s="17"/>
      <c r="M87" s="17"/>
      <c r="N87" s="17"/>
      <c r="O87" s="17">
        <f>K87</f>
        <v>9456966</v>
      </c>
      <c r="P87" s="9">
        <f t="shared" si="7"/>
        <v>9456966</v>
      </c>
    </row>
    <row r="88" spans="1:16" ht="23.25" hidden="1" customHeight="1" x14ac:dyDescent="0.2">
      <c r="A88" s="98" t="s">
        <v>510</v>
      </c>
      <c r="B88" s="41">
        <v>9770</v>
      </c>
      <c r="C88" s="182" t="s">
        <v>10</v>
      </c>
      <c r="D88" s="14" t="s">
        <v>383</v>
      </c>
      <c r="E88" s="9">
        <f>F88+I88</f>
        <v>0</v>
      </c>
      <c r="F88" s="16"/>
      <c r="G88" s="16"/>
      <c r="H88" s="16"/>
      <c r="I88" s="17"/>
      <c r="J88" s="9">
        <f>L88+O88</f>
        <v>1550000</v>
      </c>
      <c r="K88" s="167">
        <v>1550000</v>
      </c>
      <c r="L88" s="17"/>
      <c r="M88" s="17"/>
      <c r="N88" s="17"/>
      <c r="O88" s="17">
        <f>K88</f>
        <v>1550000</v>
      </c>
      <c r="P88" s="9">
        <f t="shared" si="7"/>
        <v>1550000</v>
      </c>
    </row>
    <row r="89" spans="1:16" ht="25.5" hidden="1" x14ac:dyDescent="0.2">
      <c r="A89" s="7" t="s">
        <v>185</v>
      </c>
      <c r="B89" s="7" t="s">
        <v>2</v>
      </c>
      <c r="C89" s="7" t="s">
        <v>2</v>
      </c>
      <c r="D89" s="8" t="s">
        <v>186</v>
      </c>
      <c r="E89" s="9">
        <f>E90</f>
        <v>4826300</v>
      </c>
      <c r="F89" s="9">
        <f>F90</f>
        <v>3826300</v>
      </c>
      <c r="G89" s="9">
        <f>G90</f>
        <v>2893220</v>
      </c>
      <c r="H89" s="9">
        <f>H90</f>
        <v>127880</v>
      </c>
      <c r="I89" s="9">
        <v>0</v>
      </c>
      <c r="J89" s="9">
        <f>J90</f>
        <v>60000</v>
      </c>
      <c r="K89" s="9">
        <f>K90</f>
        <v>60000</v>
      </c>
      <c r="L89" s="9">
        <v>0</v>
      </c>
      <c r="M89" s="9">
        <v>0</v>
      </c>
      <c r="N89" s="9">
        <v>0</v>
      </c>
      <c r="O89" s="9">
        <f>O90</f>
        <v>60000</v>
      </c>
      <c r="P89" s="9">
        <f t="shared" si="7"/>
        <v>4886300</v>
      </c>
    </row>
    <row r="90" spans="1:16" ht="25.5" hidden="1" x14ac:dyDescent="0.2">
      <c r="A90" s="10" t="s">
        <v>187</v>
      </c>
      <c r="B90" s="10" t="s">
        <v>2</v>
      </c>
      <c r="C90" s="10" t="s">
        <v>2</v>
      </c>
      <c r="D90" s="11" t="s">
        <v>186</v>
      </c>
      <c r="E90" s="12">
        <f>E91+E92</f>
        <v>4826300</v>
      </c>
      <c r="F90" s="12">
        <f>F91</f>
        <v>3826300</v>
      </c>
      <c r="G90" s="12">
        <f>G91</f>
        <v>2893220</v>
      </c>
      <c r="H90" s="12">
        <f>H91</f>
        <v>127880</v>
      </c>
      <c r="I90" s="12">
        <v>0</v>
      </c>
      <c r="J90" s="12">
        <f>J91+J92</f>
        <v>60000</v>
      </c>
      <c r="K90" s="12">
        <f>K91</f>
        <v>60000</v>
      </c>
      <c r="L90" s="12">
        <v>0</v>
      </c>
      <c r="M90" s="12">
        <v>0</v>
      </c>
      <c r="N90" s="12">
        <v>0</v>
      </c>
      <c r="O90" s="12">
        <f>O91</f>
        <v>60000</v>
      </c>
      <c r="P90" s="9">
        <f t="shared" si="7"/>
        <v>4886300</v>
      </c>
    </row>
    <row r="91" spans="1:16" ht="38.25" hidden="1" x14ac:dyDescent="0.2">
      <c r="A91" s="13" t="s">
        <v>188</v>
      </c>
      <c r="B91" s="13" t="s">
        <v>117</v>
      </c>
      <c r="C91" s="13" t="s">
        <v>7</v>
      </c>
      <c r="D91" s="14" t="s">
        <v>118</v>
      </c>
      <c r="E91" s="9">
        <f>F91+I91</f>
        <v>3826300</v>
      </c>
      <c r="F91" s="16">
        <f>3886300-60000</f>
        <v>3826300</v>
      </c>
      <c r="G91" s="16">
        <v>2893220</v>
      </c>
      <c r="H91" s="16">
        <v>127880</v>
      </c>
      <c r="I91" s="17">
        <v>0</v>
      </c>
      <c r="J91" s="15">
        <f>K91+L91</f>
        <v>60000</v>
      </c>
      <c r="K91" s="17">
        <v>60000</v>
      </c>
      <c r="L91" s="17">
        <v>0</v>
      </c>
      <c r="M91" s="17">
        <v>0</v>
      </c>
      <c r="N91" s="17">
        <v>0</v>
      </c>
      <c r="O91" s="17">
        <f>K91</f>
        <v>60000</v>
      </c>
      <c r="P91" s="9">
        <f t="shared" si="7"/>
        <v>3886300</v>
      </c>
    </row>
    <row r="92" spans="1:16" ht="15" hidden="1" customHeight="1" x14ac:dyDescent="0.2">
      <c r="A92" s="13" t="s">
        <v>189</v>
      </c>
      <c r="B92" s="13" t="s">
        <v>190</v>
      </c>
      <c r="C92" s="13" t="s">
        <v>11</v>
      </c>
      <c r="D92" s="14" t="s">
        <v>191</v>
      </c>
      <c r="E92" s="9">
        <v>1000000</v>
      </c>
      <c r="F92" s="17">
        <v>0</v>
      </c>
      <c r="G92" s="17">
        <v>0</v>
      </c>
      <c r="H92" s="17">
        <v>0</v>
      </c>
      <c r="I92" s="17">
        <v>0</v>
      </c>
      <c r="J92" s="15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9">
        <f t="shared" si="7"/>
        <v>1000000</v>
      </c>
    </row>
    <row r="93" spans="1:16" ht="15.75" customHeight="1" x14ac:dyDescent="0.2">
      <c r="A93" s="23" t="s">
        <v>192</v>
      </c>
      <c r="B93" s="7" t="s">
        <v>192</v>
      </c>
      <c r="C93" s="7" t="s">
        <v>192</v>
      </c>
      <c r="D93" s="7" t="s">
        <v>193</v>
      </c>
      <c r="E93" s="9">
        <f t="shared" ref="E93:P93" si="9">E89+E56+E14</f>
        <v>417436031.25999999</v>
      </c>
      <c r="F93" s="9">
        <f t="shared" si="9"/>
        <v>392175142.25999999</v>
      </c>
      <c r="G93" s="9">
        <f t="shared" si="9"/>
        <v>215960205</v>
      </c>
      <c r="H93" s="9">
        <f t="shared" si="9"/>
        <v>40561047</v>
      </c>
      <c r="I93" s="9">
        <f t="shared" si="9"/>
        <v>24260889</v>
      </c>
      <c r="J93" s="9">
        <f t="shared" si="9"/>
        <v>86701744.980000004</v>
      </c>
      <c r="K93" s="9">
        <f t="shared" si="9"/>
        <v>72595895.980000004</v>
      </c>
      <c r="L93" s="9">
        <f t="shared" si="9"/>
        <v>13355850</v>
      </c>
      <c r="M93" s="9">
        <f t="shared" si="9"/>
        <v>560500</v>
      </c>
      <c r="N93" s="9">
        <f t="shared" si="9"/>
        <v>0</v>
      </c>
      <c r="O93" s="9">
        <f t="shared" si="9"/>
        <v>73345894.980000004</v>
      </c>
      <c r="P93" s="9">
        <f t="shared" si="9"/>
        <v>504137776.24000001</v>
      </c>
    </row>
    <row r="94" spans="1:16" ht="20.25" customHeight="1" x14ac:dyDescent="0.2">
      <c r="P94" s="193"/>
    </row>
    <row r="95" spans="1:16" ht="18" customHeight="1" x14ac:dyDescent="0.2">
      <c r="A95" s="197"/>
      <c r="B95" s="197"/>
      <c r="C95" s="197"/>
      <c r="D95" s="197"/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197"/>
    </row>
    <row r="96" spans="1:16" ht="18.75" x14ac:dyDescent="0.3">
      <c r="B96" s="212" t="s">
        <v>492</v>
      </c>
      <c r="C96" s="213"/>
      <c r="D96" s="26"/>
      <c r="E96" s="27"/>
      <c r="F96" s="28"/>
      <c r="G96" s="29"/>
      <c r="H96" s="46" t="s">
        <v>491</v>
      </c>
    </row>
  </sheetData>
  <mergeCells count="25">
    <mergeCell ref="A6:P6"/>
    <mergeCell ref="A9:A12"/>
    <mergeCell ref="B9:B12"/>
    <mergeCell ref="C9:C12"/>
    <mergeCell ref="D9:D12"/>
    <mergeCell ref="L10:L12"/>
    <mergeCell ref="O10:O12"/>
    <mergeCell ref="P9:P12"/>
    <mergeCell ref="J9:O9"/>
    <mergeCell ref="K10:K12"/>
    <mergeCell ref="M2:O2"/>
    <mergeCell ref="M10:N10"/>
    <mergeCell ref="M11:M12"/>
    <mergeCell ref="N11:N12"/>
    <mergeCell ref="A5:P5"/>
    <mergeCell ref="J10:J12"/>
    <mergeCell ref="E9:I9"/>
    <mergeCell ref="G11:G12"/>
    <mergeCell ref="H11:H12"/>
    <mergeCell ref="I10:I12"/>
    <mergeCell ref="B96:C96"/>
    <mergeCell ref="E10:E12"/>
    <mergeCell ref="F10:F12"/>
    <mergeCell ref="G10:H10"/>
    <mergeCell ref="A95:P95"/>
  </mergeCells>
  <phoneticPr fontId="34" type="noConversion"/>
  <pageMargins left="0.196850393700787" right="0.196850393700787" top="0.39370078740157499" bottom="0.196850393700787" header="0" footer="0"/>
  <pageSetup paperSize="9" scale="63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2"/>
  <sheetViews>
    <sheetView topLeftCell="B1" zoomScaleNormal="100" workbookViewId="0">
      <selection activeCell="H4" sqref="H4"/>
    </sheetView>
  </sheetViews>
  <sheetFormatPr defaultRowHeight="12.75" x14ac:dyDescent="0.2"/>
  <cols>
    <col min="1" max="1" width="10.42578125" style="28" customWidth="1"/>
    <col min="2" max="2" width="8.7109375" style="28" customWidth="1"/>
    <col min="3" max="3" width="9.42578125" style="28" customWidth="1"/>
    <col min="4" max="4" width="37.140625" style="28" customWidth="1"/>
    <col min="5" max="5" width="51.140625" style="28" customWidth="1"/>
    <col min="6" max="6" width="10.85546875" style="28" customWidth="1"/>
    <col min="7" max="7" width="13.7109375" style="28" customWidth="1"/>
    <col min="8" max="8" width="14.140625" style="28" customWidth="1"/>
    <col min="9" max="9" width="14.5703125" style="28" customWidth="1"/>
    <col min="10" max="10" width="9.5703125" style="28" customWidth="1"/>
    <col min="11" max="11" width="9.7109375" style="28" customWidth="1"/>
    <col min="12" max="12" width="16.85546875" style="28" bestFit="1" customWidth="1"/>
    <col min="13" max="16384" width="9.140625" style="28"/>
  </cols>
  <sheetData>
    <row r="1" spans="1:13" ht="16.5" customHeight="1" x14ac:dyDescent="0.25">
      <c r="A1" s="124"/>
      <c r="B1" s="124"/>
      <c r="C1" s="125"/>
      <c r="D1" s="124"/>
      <c r="I1" s="126" t="s">
        <v>539</v>
      </c>
      <c r="J1" s="127"/>
      <c r="K1" s="127"/>
      <c r="L1" s="127"/>
      <c r="M1" s="127"/>
    </row>
    <row r="2" spans="1:13" ht="48" customHeight="1" x14ac:dyDescent="0.3">
      <c r="A2" s="1"/>
      <c r="B2" s="124"/>
      <c r="C2" s="125"/>
      <c r="D2" s="124"/>
      <c r="F2" s="128"/>
      <c r="G2" s="129"/>
      <c r="H2" s="198" t="s">
        <v>487</v>
      </c>
      <c r="I2" s="198"/>
      <c r="J2" s="198"/>
      <c r="K2" s="127"/>
      <c r="L2" s="127"/>
      <c r="M2" s="127"/>
    </row>
    <row r="3" spans="1:13" ht="20.25" customHeight="1" x14ac:dyDescent="0.35">
      <c r="A3" s="130"/>
      <c r="B3" s="125"/>
      <c r="C3" s="125"/>
      <c r="D3" s="124"/>
      <c r="H3" s="237" t="s">
        <v>637</v>
      </c>
      <c r="I3" s="237"/>
      <c r="J3" s="237"/>
    </row>
    <row r="4" spans="1:13" ht="14.25" customHeight="1" x14ac:dyDescent="0.25">
      <c r="A4" s="125"/>
      <c r="B4" s="125"/>
      <c r="C4" s="125"/>
      <c r="D4" s="125"/>
      <c r="E4" s="131"/>
      <c r="F4" s="127"/>
      <c r="G4" s="127"/>
      <c r="H4" s="127"/>
      <c r="I4" s="127"/>
      <c r="J4" s="132"/>
    </row>
    <row r="5" spans="1:13" ht="14.25" customHeight="1" x14ac:dyDescent="0.25">
      <c r="A5" s="196" t="s">
        <v>540</v>
      </c>
      <c r="B5" s="196"/>
      <c r="C5" s="196"/>
      <c r="D5" s="196"/>
      <c r="E5" s="196"/>
      <c r="F5" s="196"/>
      <c r="G5" s="196"/>
      <c r="H5" s="196"/>
      <c r="I5" s="196"/>
      <c r="J5" s="196"/>
    </row>
    <row r="6" spans="1:13" ht="38.25" customHeight="1" x14ac:dyDescent="0.3">
      <c r="A6" s="222" t="s">
        <v>541</v>
      </c>
      <c r="B6" s="222"/>
      <c r="C6" s="222"/>
      <c r="D6" s="222"/>
      <c r="E6" s="222"/>
      <c r="F6" s="222"/>
      <c r="G6" s="223"/>
      <c r="H6" s="224"/>
      <c r="I6" s="225"/>
      <c r="J6" s="226"/>
    </row>
    <row r="7" spans="1:13" ht="16.5" customHeight="1" x14ac:dyDescent="0.3">
      <c r="A7" s="218">
        <v>1354800000</v>
      </c>
      <c r="B7" s="219"/>
      <c r="C7" s="133"/>
      <c r="D7" s="133"/>
      <c r="E7" s="133"/>
      <c r="F7" s="133"/>
      <c r="G7" s="134"/>
      <c r="H7" s="135"/>
      <c r="I7" s="135"/>
    </row>
    <row r="8" spans="1:13" ht="14.25" customHeight="1" x14ac:dyDescent="0.25">
      <c r="A8" s="220" t="s">
        <v>622</v>
      </c>
      <c r="B8" s="221"/>
      <c r="C8" s="26"/>
      <c r="D8" s="26"/>
      <c r="E8" s="26"/>
      <c r="F8" s="26"/>
      <c r="G8" s="136"/>
      <c r="H8" s="125"/>
      <c r="I8" s="125"/>
    </row>
    <row r="9" spans="1:13" ht="12" customHeight="1" x14ac:dyDescent="0.25">
      <c r="A9" s="137"/>
      <c r="B9" s="138"/>
      <c r="C9" s="26"/>
      <c r="D9" s="26"/>
      <c r="E9" s="26"/>
      <c r="F9" s="26"/>
      <c r="G9" s="136"/>
      <c r="H9" s="125"/>
      <c r="I9" s="125"/>
    </row>
    <row r="10" spans="1:13" ht="94.5" customHeight="1" x14ac:dyDescent="0.2">
      <c r="A10" s="139" t="s">
        <v>624</v>
      </c>
      <c r="B10" s="139" t="s">
        <v>625</v>
      </c>
      <c r="C10" s="139" t="s">
        <v>626</v>
      </c>
      <c r="D10" s="140" t="s">
        <v>542</v>
      </c>
      <c r="E10" s="141" t="s">
        <v>543</v>
      </c>
      <c r="F10" s="141" t="s">
        <v>544</v>
      </c>
      <c r="G10" s="141" t="s">
        <v>545</v>
      </c>
      <c r="H10" s="142" t="s">
        <v>546</v>
      </c>
      <c r="I10" s="141" t="s">
        <v>547</v>
      </c>
      <c r="J10" s="141" t="s">
        <v>548</v>
      </c>
    </row>
    <row r="11" spans="1:13" x14ac:dyDescent="0.2">
      <c r="A11" s="140">
        <v>1</v>
      </c>
      <c r="B11" s="140">
        <v>2</v>
      </c>
      <c r="C11" s="140">
        <v>3</v>
      </c>
      <c r="D11" s="140">
        <v>4</v>
      </c>
      <c r="E11" s="141">
        <v>5</v>
      </c>
      <c r="F11" s="141">
        <v>6</v>
      </c>
      <c r="G11" s="141">
        <v>7</v>
      </c>
      <c r="H11" s="143">
        <v>8</v>
      </c>
      <c r="I11" s="142">
        <v>9</v>
      </c>
      <c r="J11" s="141">
        <v>10</v>
      </c>
    </row>
    <row r="12" spans="1:13" ht="20.25" customHeight="1" x14ac:dyDescent="0.2">
      <c r="A12" s="23" t="s">
        <v>1</v>
      </c>
      <c r="B12" s="23" t="s">
        <v>2</v>
      </c>
      <c r="C12" s="23" t="s">
        <v>2</v>
      </c>
      <c r="D12" s="144" t="s">
        <v>3</v>
      </c>
      <c r="E12" s="145"/>
      <c r="F12" s="23" t="s">
        <v>2</v>
      </c>
      <c r="G12" s="32">
        <f>G13</f>
        <v>126931150</v>
      </c>
      <c r="H12" s="32">
        <f>H13</f>
        <v>9932201.5899999999</v>
      </c>
      <c r="I12" s="32">
        <f>I13</f>
        <v>14368439</v>
      </c>
      <c r="J12" s="32" t="s">
        <v>549</v>
      </c>
      <c r="K12" s="146" t="str">
        <f>J12</f>
        <v>0</v>
      </c>
    </row>
    <row r="13" spans="1:13" ht="21.75" customHeight="1" x14ac:dyDescent="0.2">
      <c r="A13" s="147" t="s">
        <v>4</v>
      </c>
      <c r="B13" s="23" t="s">
        <v>2</v>
      </c>
      <c r="C13" s="23" t="s">
        <v>2</v>
      </c>
      <c r="D13" s="144" t="s">
        <v>3</v>
      </c>
      <c r="E13" s="145"/>
      <c r="F13" s="23" t="s">
        <v>2</v>
      </c>
      <c r="G13" s="32">
        <f>SUM(G14:G30)</f>
        <v>126931150</v>
      </c>
      <c r="H13" s="32">
        <f>SUM(H14:H30)</f>
        <v>9932201.5899999999</v>
      </c>
      <c r="I13" s="32">
        <f>SUM(I14:I30)</f>
        <v>14368439</v>
      </c>
      <c r="J13" s="32">
        <v>0</v>
      </c>
      <c r="K13" s="146"/>
    </row>
    <row r="14" spans="1:13" ht="0.75" customHeight="1" x14ac:dyDescent="0.2">
      <c r="A14" s="148" t="s">
        <v>570</v>
      </c>
      <c r="B14" s="148" t="s">
        <v>578</v>
      </c>
      <c r="C14" s="148" t="s">
        <v>173</v>
      </c>
      <c r="D14" s="149" t="s">
        <v>575</v>
      </c>
      <c r="E14" s="149" t="s">
        <v>579</v>
      </c>
      <c r="F14" s="148" t="s">
        <v>580</v>
      </c>
      <c r="G14" s="150">
        <v>5379076</v>
      </c>
      <c r="H14" s="150">
        <v>0</v>
      </c>
      <c r="I14" s="150">
        <v>5379076</v>
      </c>
      <c r="J14" s="150" t="s">
        <v>581</v>
      </c>
      <c r="K14" s="146"/>
    </row>
    <row r="15" spans="1:13" ht="66.75" customHeight="1" x14ac:dyDescent="0.2">
      <c r="A15" s="148" t="s">
        <v>77</v>
      </c>
      <c r="B15" s="148" t="s">
        <v>78</v>
      </c>
      <c r="C15" s="148" t="s">
        <v>79</v>
      </c>
      <c r="D15" s="149" t="s">
        <v>80</v>
      </c>
      <c r="E15" s="149" t="s">
        <v>550</v>
      </c>
      <c r="F15" s="148" t="s">
        <v>551</v>
      </c>
      <c r="G15" s="150">
        <v>29180250</v>
      </c>
      <c r="H15" s="150">
        <v>8760574.0500000007</v>
      </c>
      <c r="I15" s="150">
        <f>5677363-1101700-200000</f>
        <v>4375663</v>
      </c>
      <c r="J15" s="150">
        <v>45.02</v>
      </c>
      <c r="K15" s="146"/>
    </row>
    <row r="16" spans="1:13" ht="46.5" customHeight="1" x14ac:dyDescent="0.2">
      <c r="A16" s="148" t="s">
        <v>77</v>
      </c>
      <c r="B16" s="82" t="s">
        <v>78</v>
      </c>
      <c r="C16" s="82" t="s">
        <v>79</v>
      </c>
      <c r="D16" s="151" t="s">
        <v>80</v>
      </c>
      <c r="E16" s="149" t="s">
        <v>552</v>
      </c>
      <c r="F16" s="82" t="s">
        <v>553</v>
      </c>
      <c r="G16" s="150">
        <v>34033139</v>
      </c>
      <c r="H16" s="150">
        <v>610418.6</v>
      </c>
      <c r="I16" s="150">
        <v>200000</v>
      </c>
      <c r="J16" s="150">
        <v>2.38</v>
      </c>
      <c r="K16" s="146"/>
    </row>
    <row r="17" spans="1:11" ht="46.5" hidden="1" customHeight="1" x14ac:dyDescent="0.2">
      <c r="A17" s="148" t="s">
        <v>77</v>
      </c>
      <c r="B17" s="82" t="s">
        <v>78</v>
      </c>
      <c r="C17" s="82" t="s">
        <v>79</v>
      </c>
      <c r="D17" s="151" t="s">
        <v>80</v>
      </c>
      <c r="E17" s="149" t="s">
        <v>582</v>
      </c>
      <c r="F17" s="4" t="s">
        <v>580</v>
      </c>
      <c r="G17" s="89"/>
      <c r="H17" s="89"/>
      <c r="I17" s="150">
        <f>200000+100000</f>
        <v>300000</v>
      </c>
      <c r="J17" s="89"/>
      <c r="K17" s="146"/>
    </row>
    <row r="18" spans="1:11" ht="46.5" hidden="1" customHeight="1" x14ac:dyDescent="0.2">
      <c r="A18" s="148" t="s">
        <v>77</v>
      </c>
      <c r="B18" s="82" t="s">
        <v>78</v>
      </c>
      <c r="C18" s="82" t="s">
        <v>79</v>
      </c>
      <c r="D18" s="151" t="s">
        <v>80</v>
      </c>
      <c r="E18" s="149" t="s">
        <v>591</v>
      </c>
      <c r="F18" s="4">
        <v>2023</v>
      </c>
      <c r="G18" s="89">
        <v>108000</v>
      </c>
      <c r="H18" s="89"/>
      <c r="I18" s="150">
        <v>81000</v>
      </c>
      <c r="J18" s="89">
        <v>100</v>
      </c>
      <c r="K18" s="146"/>
    </row>
    <row r="19" spans="1:11" ht="36.75" hidden="1" customHeight="1" x14ac:dyDescent="0.2">
      <c r="A19" s="148" t="s">
        <v>77</v>
      </c>
      <c r="B19" s="82" t="s">
        <v>78</v>
      </c>
      <c r="C19" s="82" t="s">
        <v>79</v>
      </c>
      <c r="D19" s="151" t="s">
        <v>80</v>
      </c>
      <c r="E19" s="149" t="s">
        <v>610</v>
      </c>
      <c r="F19" s="4" t="s">
        <v>619</v>
      </c>
      <c r="G19" s="89">
        <v>248499</v>
      </c>
      <c r="H19" s="89">
        <v>209924.08</v>
      </c>
      <c r="I19" s="150">
        <v>25000</v>
      </c>
      <c r="J19" s="89">
        <v>100</v>
      </c>
      <c r="K19" s="146"/>
    </row>
    <row r="20" spans="1:11" ht="47.25" hidden="1" customHeight="1" x14ac:dyDescent="0.2">
      <c r="A20" s="148" t="s">
        <v>77</v>
      </c>
      <c r="B20" s="82" t="s">
        <v>78</v>
      </c>
      <c r="C20" s="82" t="s">
        <v>79</v>
      </c>
      <c r="D20" s="151" t="s">
        <v>80</v>
      </c>
      <c r="E20" s="149" t="s">
        <v>449</v>
      </c>
      <c r="F20" s="4" t="s">
        <v>619</v>
      </c>
      <c r="G20" s="36">
        <v>171521</v>
      </c>
      <c r="H20" s="36">
        <v>16606</v>
      </c>
      <c r="I20" s="36">
        <v>240000</v>
      </c>
      <c r="J20" s="36" t="s">
        <v>581</v>
      </c>
      <c r="K20" s="146"/>
    </row>
    <row r="21" spans="1:11" ht="46.5" hidden="1" customHeight="1" x14ac:dyDescent="0.2">
      <c r="A21" s="148" t="s">
        <v>77</v>
      </c>
      <c r="B21" s="82" t="s">
        <v>78</v>
      </c>
      <c r="C21" s="82" t="s">
        <v>79</v>
      </c>
      <c r="D21" s="151" t="s">
        <v>80</v>
      </c>
      <c r="E21" s="149" t="s">
        <v>611</v>
      </c>
      <c r="F21" s="4" t="s">
        <v>619</v>
      </c>
      <c r="G21" s="36">
        <v>2366068</v>
      </c>
      <c r="H21" s="36">
        <v>143239.43</v>
      </c>
      <c r="I21" s="36">
        <v>1770000</v>
      </c>
      <c r="J21" s="89">
        <v>99.03</v>
      </c>
      <c r="K21" s="146"/>
    </row>
    <row r="22" spans="1:11" ht="46.5" hidden="1" customHeight="1" x14ac:dyDescent="0.2">
      <c r="A22" s="148" t="s">
        <v>77</v>
      </c>
      <c r="B22" s="82" t="s">
        <v>78</v>
      </c>
      <c r="C22" s="82" t="s">
        <v>79</v>
      </c>
      <c r="D22" s="149" t="s">
        <v>80</v>
      </c>
      <c r="E22" s="149" t="s">
        <v>571</v>
      </c>
      <c r="F22" s="4" t="s">
        <v>619</v>
      </c>
      <c r="G22" s="36">
        <v>596000</v>
      </c>
      <c r="H22" s="36">
        <v>24100</v>
      </c>
      <c r="I22" s="36">
        <v>276001</v>
      </c>
      <c r="J22" s="89">
        <v>100</v>
      </c>
      <c r="K22" s="146"/>
    </row>
    <row r="23" spans="1:11" ht="75" hidden="1" customHeight="1" x14ac:dyDescent="0.2">
      <c r="A23" s="148">
        <v>117330</v>
      </c>
      <c r="B23" s="148">
        <v>7330</v>
      </c>
      <c r="C23" s="152" t="s">
        <v>79</v>
      </c>
      <c r="D23" s="149" t="s">
        <v>554</v>
      </c>
      <c r="E23" s="153" t="s">
        <v>555</v>
      </c>
      <c r="F23" s="148" t="s">
        <v>556</v>
      </c>
      <c r="G23" s="150"/>
      <c r="H23" s="150"/>
      <c r="I23" s="150">
        <v>100000</v>
      </c>
      <c r="J23" s="150"/>
      <c r="K23" s="146"/>
    </row>
    <row r="24" spans="1:11" ht="36.75" hidden="1" customHeight="1" x14ac:dyDescent="0.2">
      <c r="A24" s="148">
        <v>117330</v>
      </c>
      <c r="B24" s="148">
        <v>7330</v>
      </c>
      <c r="C24" s="152" t="s">
        <v>79</v>
      </c>
      <c r="D24" s="149" t="s">
        <v>554</v>
      </c>
      <c r="E24" s="149" t="s">
        <v>583</v>
      </c>
      <c r="F24" s="148" t="s">
        <v>580</v>
      </c>
      <c r="G24" s="150"/>
      <c r="H24" s="150"/>
      <c r="I24" s="150">
        <f>200000+101700</f>
        <v>301700</v>
      </c>
      <c r="J24" s="150"/>
      <c r="K24" s="146"/>
    </row>
    <row r="25" spans="1:11" ht="77.25" customHeight="1" x14ac:dyDescent="0.2">
      <c r="A25" s="152" t="s">
        <v>503</v>
      </c>
      <c r="B25" s="148">
        <v>7330</v>
      </c>
      <c r="C25" s="152" t="s">
        <v>79</v>
      </c>
      <c r="D25" s="149" t="s">
        <v>554</v>
      </c>
      <c r="E25" s="171" t="s">
        <v>592</v>
      </c>
      <c r="F25" s="148">
        <v>2023</v>
      </c>
      <c r="G25" s="150"/>
      <c r="H25" s="150"/>
      <c r="I25" s="150">
        <v>40000</v>
      </c>
      <c r="J25" s="150"/>
      <c r="K25" s="146"/>
    </row>
    <row r="26" spans="1:11" ht="24.75" hidden="1" customHeight="1" x14ac:dyDescent="0.2">
      <c r="A26" s="152" t="s">
        <v>503</v>
      </c>
      <c r="B26" s="148">
        <v>7330</v>
      </c>
      <c r="C26" s="152" t="s">
        <v>79</v>
      </c>
      <c r="D26" s="149" t="s">
        <v>554</v>
      </c>
      <c r="E26" s="171" t="s">
        <v>590</v>
      </c>
      <c r="F26" s="148">
        <v>2023</v>
      </c>
      <c r="G26" s="150"/>
      <c r="H26" s="150"/>
      <c r="I26" s="150">
        <v>200000</v>
      </c>
      <c r="J26" s="150"/>
      <c r="K26" s="146"/>
    </row>
    <row r="27" spans="1:11" ht="46.5" hidden="1" customHeight="1" x14ac:dyDescent="0.2">
      <c r="A27" s="152" t="s">
        <v>503</v>
      </c>
      <c r="B27" s="148">
        <v>7330</v>
      </c>
      <c r="C27" s="152" t="s">
        <v>79</v>
      </c>
      <c r="D27" s="149" t="s">
        <v>554</v>
      </c>
      <c r="E27" s="171" t="s">
        <v>180</v>
      </c>
      <c r="F27" s="148">
        <v>2023</v>
      </c>
      <c r="G27" s="150"/>
      <c r="H27" s="150"/>
      <c r="I27" s="150">
        <v>130000</v>
      </c>
      <c r="J27" s="150"/>
      <c r="K27" s="146"/>
    </row>
    <row r="28" spans="1:11" ht="133.5" hidden="1" customHeight="1" x14ac:dyDescent="0.25">
      <c r="A28" s="152" t="s">
        <v>572</v>
      </c>
      <c r="B28" s="165">
        <v>7691</v>
      </c>
      <c r="C28" s="165" t="s">
        <v>94</v>
      </c>
      <c r="D28" s="192" t="s">
        <v>573</v>
      </c>
      <c r="E28" s="149" t="s">
        <v>571</v>
      </c>
      <c r="F28" s="4" t="s">
        <v>619</v>
      </c>
      <c r="G28" s="36">
        <v>596000</v>
      </c>
      <c r="H28" s="36">
        <v>24100</v>
      </c>
      <c r="I28" s="36">
        <v>319999</v>
      </c>
      <c r="J28" s="150">
        <v>100</v>
      </c>
      <c r="K28" s="146"/>
    </row>
    <row r="29" spans="1:11" ht="30.75" hidden="1" customHeight="1" x14ac:dyDescent="0.2">
      <c r="A29" s="82" t="s">
        <v>110</v>
      </c>
      <c r="B29" s="82" t="s">
        <v>111</v>
      </c>
      <c r="C29" s="82" t="s">
        <v>108</v>
      </c>
      <c r="D29" s="189" t="s">
        <v>112</v>
      </c>
      <c r="E29" s="149" t="s">
        <v>447</v>
      </c>
      <c r="F29" s="4" t="s">
        <v>619</v>
      </c>
      <c r="G29" s="36">
        <v>2366068</v>
      </c>
      <c r="H29" s="36">
        <v>143239.43</v>
      </c>
      <c r="I29" s="36">
        <v>430000</v>
      </c>
      <c r="J29" s="36" t="s">
        <v>448</v>
      </c>
      <c r="K29" s="146"/>
    </row>
    <row r="30" spans="1:11" ht="60" hidden="1" customHeight="1" x14ac:dyDescent="0.2">
      <c r="A30" s="82" t="s">
        <v>608</v>
      </c>
      <c r="B30" s="82" t="s">
        <v>609</v>
      </c>
      <c r="C30" s="82" t="s">
        <v>10</v>
      </c>
      <c r="D30" s="190" t="s">
        <v>567</v>
      </c>
      <c r="E30" s="151" t="s">
        <v>430</v>
      </c>
      <c r="F30" s="4" t="s">
        <v>556</v>
      </c>
      <c r="G30" s="36">
        <v>51886529</v>
      </c>
      <c r="H30" s="36">
        <v>0</v>
      </c>
      <c r="I30" s="36">
        <v>200000</v>
      </c>
      <c r="J30" s="36" t="s">
        <v>482</v>
      </c>
      <c r="K30" s="146"/>
    </row>
    <row r="31" spans="1:11" ht="22.5" hidden="1" customHeight="1" x14ac:dyDescent="0.2">
      <c r="A31" s="154" t="s">
        <v>113</v>
      </c>
      <c r="B31" s="154" t="s">
        <v>2</v>
      </c>
      <c r="C31" s="154" t="s">
        <v>2</v>
      </c>
      <c r="D31" s="155" t="s">
        <v>114</v>
      </c>
      <c r="E31" s="156"/>
      <c r="F31" s="154" t="s">
        <v>2</v>
      </c>
      <c r="G31" s="85">
        <f>SUM(G32)</f>
        <v>209133411</v>
      </c>
      <c r="H31" s="85">
        <f>SUM(H32)</f>
        <v>127212319</v>
      </c>
      <c r="I31" s="85">
        <f>SUM(I32)</f>
        <v>20773672.210000001</v>
      </c>
      <c r="J31" s="85" t="s">
        <v>549</v>
      </c>
      <c r="K31" s="146"/>
    </row>
    <row r="32" spans="1:11" ht="24" hidden="1" customHeight="1" x14ac:dyDescent="0.2">
      <c r="A32" s="154" t="s">
        <v>115</v>
      </c>
      <c r="B32" s="154" t="s">
        <v>2</v>
      </c>
      <c r="C32" s="154" t="s">
        <v>2</v>
      </c>
      <c r="D32" s="155" t="s">
        <v>114</v>
      </c>
      <c r="E32" s="156"/>
      <c r="F32" s="154" t="s">
        <v>2</v>
      </c>
      <c r="G32" s="85">
        <f>SUM(G33:G37)</f>
        <v>209133411</v>
      </c>
      <c r="H32" s="85">
        <f>SUM(H33:H37)</f>
        <v>127212319</v>
      </c>
      <c r="I32" s="85">
        <f>SUM(I33:I37)</f>
        <v>20773672.210000001</v>
      </c>
      <c r="J32" s="85">
        <v>0</v>
      </c>
      <c r="K32" s="146"/>
    </row>
    <row r="33" spans="1:11" ht="34.5" hidden="1" customHeight="1" x14ac:dyDescent="0.2">
      <c r="A33" s="148" t="s">
        <v>489</v>
      </c>
      <c r="B33" s="148" t="s">
        <v>557</v>
      </c>
      <c r="C33" s="148" t="s">
        <v>79</v>
      </c>
      <c r="D33" s="149" t="s">
        <v>558</v>
      </c>
      <c r="E33" s="149" t="s">
        <v>559</v>
      </c>
      <c r="F33" s="148" t="s">
        <v>560</v>
      </c>
      <c r="G33" s="150">
        <v>104088654</v>
      </c>
      <c r="H33" s="150">
        <v>80696951</v>
      </c>
      <c r="I33" s="150">
        <v>1102188.21</v>
      </c>
      <c r="J33" s="150">
        <v>77.53</v>
      </c>
      <c r="K33" s="146"/>
    </row>
    <row r="34" spans="1:11" ht="30.75" hidden="1" customHeight="1" x14ac:dyDescent="0.2">
      <c r="A34" s="148" t="s">
        <v>489</v>
      </c>
      <c r="B34" s="148" t="s">
        <v>557</v>
      </c>
      <c r="C34" s="148" t="s">
        <v>79</v>
      </c>
      <c r="D34" s="149" t="s">
        <v>558</v>
      </c>
      <c r="E34" s="149" t="s">
        <v>561</v>
      </c>
      <c r="F34" s="148" t="s">
        <v>562</v>
      </c>
      <c r="G34" s="150">
        <v>64848219</v>
      </c>
      <c r="H34" s="150">
        <v>45645769</v>
      </c>
      <c r="I34" s="150">
        <v>20150</v>
      </c>
      <c r="J34" s="150">
        <v>70.42</v>
      </c>
      <c r="K34" s="146"/>
    </row>
    <row r="35" spans="1:11" ht="63.75" hidden="1" customHeight="1" x14ac:dyDescent="0.2">
      <c r="A35" s="148" t="s">
        <v>489</v>
      </c>
      <c r="B35" s="148" t="s">
        <v>557</v>
      </c>
      <c r="C35" s="148" t="s">
        <v>79</v>
      </c>
      <c r="D35" s="149" t="s">
        <v>558</v>
      </c>
      <c r="E35" s="149" t="s">
        <v>563</v>
      </c>
      <c r="F35" s="148">
        <v>2023</v>
      </c>
      <c r="G35" s="150">
        <v>19500000</v>
      </c>
      <c r="H35" s="150"/>
      <c r="I35" s="150">
        <v>10022637</v>
      </c>
      <c r="J35" s="150">
        <v>100</v>
      </c>
      <c r="K35" s="146"/>
    </row>
    <row r="36" spans="1:11" ht="36" hidden="1" customHeight="1" x14ac:dyDescent="0.25">
      <c r="A36" s="164" t="s">
        <v>568</v>
      </c>
      <c r="B36" s="165">
        <v>7363</v>
      </c>
      <c r="C36" s="164" t="s">
        <v>94</v>
      </c>
      <c r="D36" s="168" t="s">
        <v>569</v>
      </c>
      <c r="E36" s="149" t="s">
        <v>618</v>
      </c>
      <c r="F36" s="148" t="s">
        <v>619</v>
      </c>
      <c r="G36" s="150">
        <v>1196538</v>
      </c>
      <c r="H36" s="150">
        <v>869599</v>
      </c>
      <c r="I36" s="150">
        <v>171731</v>
      </c>
      <c r="J36" s="150">
        <v>100</v>
      </c>
      <c r="K36" s="146"/>
    </row>
    <row r="37" spans="1:11" ht="62.25" hidden="1" customHeight="1" x14ac:dyDescent="0.25">
      <c r="A37" s="166" t="s">
        <v>584</v>
      </c>
      <c r="B37" s="41">
        <v>7368</v>
      </c>
      <c r="C37" s="98" t="s">
        <v>94</v>
      </c>
      <c r="D37" s="39" t="s">
        <v>585</v>
      </c>
      <c r="E37" s="149" t="s">
        <v>563</v>
      </c>
      <c r="F37" s="148">
        <v>2023</v>
      </c>
      <c r="G37" s="150">
        <v>19500000</v>
      </c>
      <c r="H37" s="150"/>
      <c r="I37" s="150">
        <v>9456966</v>
      </c>
      <c r="J37" s="150">
        <v>100</v>
      </c>
      <c r="K37" s="146"/>
    </row>
    <row r="38" spans="1:11" ht="24" customHeight="1" x14ac:dyDescent="0.2">
      <c r="A38" s="23" t="s">
        <v>192</v>
      </c>
      <c r="B38" s="23" t="s">
        <v>192</v>
      </c>
      <c r="C38" s="23" t="s">
        <v>192</v>
      </c>
      <c r="D38" s="23" t="s">
        <v>193</v>
      </c>
      <c r="E38" s="23" t="s">
        <v>192</v>
      </c>
      <c r="F38" s="23" t="s">
        <v>192</v>
      </c>
      <c r="G38" s="32">
        <f>G12+G31</f>
        <v>336064561</v>
      </c>
      <c r="H38" s="32">
        <f>H12+H31</f>
        <v>137144520.59</v>
      </c>
      <c r="I38" s="32">
        <f>I12+I31</f>
        <v>35142111.210000001</v>
      </c>
      <c r="J38" s="32" t="s">
        <v>192</v>
      </c>
    </row>
    <row r="39" spans="1:11" ht="61.5" customHeight="1" x14ac:dyDescent="0.3">
      <c r="A39" s="216" t="s">
        <v>492</v>
      </c>
      <c r="B39" s="217"/>
      <c r="C39" s="26"/>
      <c r="D39" s="27"/>
      <c r="F39" s="46" t="s">
        <v>491</v>
      </c>
      <c r="G39" s="49"/>
      <c r="I39" s="157"/>
    </row>
    <row r="40" spans="1:11" ht="15.75" x14ac:dyDescent="0.25">
      <c r="A40" s="158"/>
      <c r="B40" s="158"/>
      <c r="C40" s="125"/>
      <c r="D40" s="125"/>
      <c r="E40" s="125"/>
      <c r="F40" s="49"/>
      <c r="I40" s="125"/>
    </row>
    <row r="41" spans="1:11" x14ac:dyDescent="0.2">
      <c r="A41" s="159"/>
      <c r="B41" s="159"/>
      <c r="C41" s="160"/>
      <c r="D41" s="159"/>
      <c r="E41" s="159"/>
      <c r="F41" s="159"/>
      <c r="G41" s="159"/>
      <c r="I41" s="158"/>
    </row>
    <row r="42" spans="1:11" x14ac:dyDescent="0.2">
      <c r="A42" s="159"/>
      <c r="B42" s="159"/>
      <c r="C42" s="160"/>
      <c r="D42" s="159"/>
      <c r="E42" s="159"/>
      <c r="F42" s="159"/>
      <c r="G42" s="159"/>
      <c r="I42" s="158"/>
    </row>
    <row r="43" spans="1:11" x14ac:dyDescent="0.2">
      <c r="A43" s="159"/>
      <c r="B43" s="159"/>
      <c r="C43" s="160"/>
      <c r="D43" s="159"/>
      <c r="E43" s="159"/>
      <c r="F43" s="159"/>
      <c r="G43" s="159"/>
      <c r="I43" s="158"/>
    </row>
    <row r="44" spans="1:11" x14ac:dyDescent="0.2">
      <c r="A44" s="159"/>
      <c r="B44" s="159"/>
      <c r="C44" s="160"/>
      <c r="D44" s="159"/>
      <c r="E44" s="159"/>
      <c r="F44" s="159"/>
      <c r="G44" s="159"/>
      <c r="I44" s="158"/>
    </row>
    <row r="45" spans="1:11" x14ac:dyDescent="0.2">
      <c r="A45" s="125"/>
      <c r="B45" s="125"/>
      <c r="C45" s="160"/>
      <c r="D45" s="125"/>
      <c r="E45" s="125"/>
      <c r="F45" s="125"/>
      <c r="G45" s="125"/>
      <c r="I45" s="158"/>
    </row>
    <row r="46" spans="1:11" x14ac:dyDescent="0.2">
      <c r="A46" s="125"/>
      <c r="B46" s="125"/>
      <c r="C46" s="160"/>
      <c r="D46" s="125"/>
      <c r="E46" s="125"/>
      <c r="F46" s="125"/>
      <c r="G46" s="125"/>
      <c r="I46" s="158"/>
    </row>
    <row r="47" spans="1:11" x14ac:dyDescent="0.2">
      <c r="A47" s="125"/>
      <c r="B47" s="125"/>
      <c r="C47" s="161"/>
      <c r="D47" s="125"/>
      <c r="E47" s="125"/>
      <c r="F47" s="125"/>
      <c r="G47" s="125"/>
      <c r="I47" s="158"/>
    </row>
    <row r="48" spans="1:11" x14ac:dyDescent="0.2">
      <c r="A48" s="125"/>
      <c r="B48" s="125"/>
      <c r="C48" s="161"/>
      <c r="D48" s="125"/>
      <c r="E48" s="125"/>
      <c r="F48" s="125"/>
      <c r="G48" s="125"/>
      <c r="I48" s="158"/>
    </row>
    <row r="49" spans="1:9" x14ac:dyDescent="0.2">
      <c r="A49" s="125"/>
      <c r="B49" s="125"/>
      <c r="C49" s="161"/>
      <c r="D49" s="125"/>
      <c r="E49" s="125"/>
      <c r="F49" s="125"/>
      <c r="G49" s="125"/>
      <c r="I49" s="158"/>
    </row>
    <row r="50" spans="1:9" x14ac:dyDescent="0.2">
      <c r="A50" s="125"/>
      <c r="B50" s="125"/>
      <c r="C50" s="161"/>
      <c r="D50" s="125"/>
      <c r="E50" s="125"/>
      <c r="F50" s="125"/>
      <c r="G50" s="125"/>
      <c r="I50" s="158"/>
    </row>
    <row r="51" spans="1:9" x14ac:dyDescent="0.2">
      <c r="A51" s="125"/>
      <c r="B51" s="125"/>
      <c r="C51" s="161"/>
      <c r="D51" s="125"/>
      <c r="E51" s="125"/>
      <c r="F51" s="125"/>
      <c r="G51" s="125"/>
      <c r="I51" s="158"/>
    </row>
    <row r="52" spans="1:9" x14ac:dyDescent="0.2">
      <c r="A52" s="125"/>
      <c r="B52" s="125"/>
      <c r="C52" s="161"/>
      <c r="D52" s="125"/>
      <c r="E52" s="125"/>
      <c r="F52" s="125"/>
      <c r="G52" s="125"/>
      <c r="I52" s="158"/>
    </row>
    <row r="53" spans="1:9" x14ac:dyDescent="0.2">
      <c r="A53" s="125"/>
      <c r="B53" s="125"/>
      <c r="C53" s="161"/>
      <c r="D53" s="125"/>
      <c r="E53" s="125"/>
      <c r="F53" s="125"/>
      <c r="G53" s="125"/>
      <c r="I53" s="158"/>
    </row>
    <row r="54" spans="1:9" x14ac:dyDescent="0.2">
      <c r="A54" s="125"/>
      <c r="B54" s="125"/>
      <c r="C54" s="161"/>
      <c r="D54" s="125"/>
      <c r="E54" s="125"/>
      <c r="F54" s="125"/>
      <c r="G54" s="125"/>
      <c r="H54" s="158"/>
    </row>
    <row r="55" spans="1:9" x14ac:dyDescent="0.2">
      <c r="A55" s="125"/>
      <c r="B55" s="125"/>
      <c r="C55" s="161"/>
      <c r="D55" s="125"/>
      <c r="E55" s="125"/>
      <c r="F55" s="125"/>
      <c r="G55" s="125"/>
      <c r="H55" s="158"/>
    </row>
    <row r="56" spans="1:9" x14ac:dyDescent="0.2">
      <c r="A56" s="125"/>
      <c r="B56" s="125"/>
      <c r="C56" s="161"/>
      <c r="D56" s="125"/>
      <c r="E56" s="125"/>
      <c r="F56" s="125"/>
      <c r="G56" s="125"/>
      <c r="H56" s="158"/>
    </row>
    <row r="57" spans="1:9" x14ac:dyDescent="0.2">
      <c r="A57" s="125"/>
      <c r="B57" s="125"/>
      <c r="C57" s="161"/>
      <c r="D57" s="125"/>
      <c r="E57" s="125"/>
      <c r="F57" s="125"/>
      <c r="G57" s="125"/>
      <c r="H57" s="158"/>
    </row>
    <row r="58" spans="1:9" x14ac:dyDescent="0.2">
      <c r="A58" s="125"/>
      <c r="B58" s="125"/>
      <c r="C58" s="161"/>
      <c r="D58" s="125"/>
      <c r="E58" s="125"/>
      <c r="F58" s="125"/>
      <c r="G58" s="125"/>
      <c r="H58" s="158"/>
    </row>
    <row r="59" spans="1:9" x14ac:dyDescent="0.2">
      <c r="A59" s="125"/>
      <c r="B59" s="125"/>
      <c r="C59" s="161"/>
      <c r="D59" s="125"/>
      <c r="E59" s="125"/>
      <c r="F59" s="125"/>
      <c r="G59" s="125"/>
      <c r="H59" s="158"/>
    </row>
    <row r="60" spans="1:9" x14ac:dyDescent="0.2">
      <c r="A60" s="125"/>
      <c r="B60" s="125"/>
      <c r="C60" s="161"/>
      <c r="D60" s="125"/>
      <c r="E60" s="125"/>
      <c r="F60" s="125"/>
      <c r="G60" s="125"/>
      <c r="H60" s="158"/>
    </row>
    <row r="61" spans="1:9" x14ac:dyDescent="0.2">
      <c r="A61" s="125"/>
      <c r="B61" s="125"/>
      <c r="C61" s="161"/>
      <c r="D61" s="125"/>
      <c r="E61" s="125"/>
      <c r="F61" s="125"/>
      <c r="G61" s="125"/>
      <c r="H61" s="158"/>
    </row>
    <row r="62" spans="1:9" x14ac:dyDescent="0.2">
      <c r="A62" s="125"/>
      <c r="B62" s="125"/>
      <c r="C62" s="161"/>
      <c r="D62" s="125"/>
      <c r="E62" s="125"/>
      <c r="F62" s="125"/>
      <c r="G62" s="125"/>
      <c r="H62" s="158"/>
    </row>
    <row r="63" spans="1:9" x14ac:dyDescent="0.2">
      <c r="A63" s="125"/>
      <c r="B63" s="125"/>
      <c r="C63" s="161"/>
      <c r="D63" s="125"/>
      <c r="E63" s="125"/>
      <c r="F63" s="125"/>
      <c r="G63" s="125"/>
      <c r="H63" s="158"/>
    </row>
    <row r="64" spans="1:9" x14ac:dyDescent="0.2">
      <c r="A64" s="125"/>
      <c r="B64" s="125"/>
      <c r="C64" s="161"/>
      <c r="D64" s="125"/>
      <c r="E64" s="125"/>
      <c r="F64" s="125"/>
      <c r="G64" s="125"/>
      <c r="H64" s="158"/>
    </row>
    <row r="65" spans="1:8" x14ac:dyDescent="0.2">
      <c r="A65" s="125"/>
      <c r="B65" s="125"/>
      <c r="C65" s="161"/>
      <c r="D65" s="125"/>
      <c r="E65" s="125"/>
      <c r="F65" s="125"/>
      <c r="G65" s="125"/>
      <c r="H65" s="158"/>
    </row>
    <row r="66" spans="1:8" x14ac:dyDescent="0.2">
      <c r="A66" s="125"/>
      <c r="B66" s="125"/>
      <c r="C66" s="161"/>
      <c r="D66" s="125"/>
      <c r="E66" s="125"/>
      <c r="F66" s="125"/>
      <c r="G66" s="125"/>
      <c r="H66" s="158"/>
    </row>
    <row r="67" spans="1:8" x14ac:dyDescent="0.2">
      <c r="A67" s="125"/>
      <c r="B67" s="125"/>
      <c r="C67" s="161"/>
      <c r="D67" s="125"/>
      <c r="E67" s="125"/>
      <c r="F67" s="125"/>
      <c r="G67" s="125"/>
      <c r="H67" s="158"/>
    </row>
    <row r="68" spans="1:8" x14ac:dyDescent="0.2">
      <c r="A68" s="125"/>
      <c r="B68" s="125"/>
      <c r="C68" s="161"/>
      <c r="D68" s="125"/>
      <c r="E68" s="125"/>
      <c r="F68" s="125"/>
      <c r="G68" s="125"/>
      <c r="H68" s="158"/>
    </row>
    <row r="69" spans="1:8" x14ac:dyDescent="0.2">
      <c r="A69" s="125"/>
      <c r="B69" s="125"/>
      <c r="C69" s="161"/>
      <c r="D69" s="125"/>
      <c r="E69" s="125"/>
      <c r="F69" s="125"/>
      <c r="G69" s="125"/>
      <c r="H69" s="158"/>
    </row>
    <row r="70" spans="1:8" x14ac:dyDescent="0.2">
      <c r="A70" s="125"/>
      <c r="B70" s="125"/>
      <c r="C70" s="161"/>
      <c r="D70" s="125"/>
      <c r="E70" s="125"/>
      <c r="F70" s="125"/>
      <c r="G70" s="125"/>
      <c r="H70" s="158"/>
    </row>
    <row r="71" spans="1:8" x14ac:dyDescent="0.2">
      <c r="A71" s="125"/>
      <c r="B71" s="125"/>
      <c r="C71" s="161"/>
      <c r="D71" s="125"/>
      <c r="E71" s="125"/>
      <c r="F71" s="125"/>
      <c r="G71" s="125"/>
      <c r="H71" s="158"/>
    </row>
    <row r="72" spans="1:8" x14ac:dyDescent="0.2">
      <c r="A72" s="125"/>
      <c r="B72" s="125"/>
      <c r="C72" s="161"/>
      <c r="D72" s="125"/>
      <c r="E72" s="125"/>
      <c r="F72" s="125"/>
      <c r="G72" s="125"/>
      <c r="H72" s="158"/>
    </row>
    <row r="73" spans="1:8" x14ac:dyDescent="0.2">
      <c r="A73" s="125"/>
      <c r="B73" s="125"/>
      <c r="C73" s="161"/>
      <c r="D73" s="125"/>
      <c r="E73" s="125"/>
      <c r="F73" s="125"/>
      <c r="G73" s="125"/>
      <c r="H73" s="158"/>
    </row>
    <row r="74" spans="1:8" x14ac:dyDescent="0.2">
      <c r="A74" s="125"/>
      <c r="B74" s="125"/>
      <c r="C74" s="161"/>
      <c r="D74" s="125"/>
      <c r="E74" s="125"/>
      <c r="F74" s="125"/>
      <c r="G74" s="125"/>
      <c r="H74" s="158"/>
    </row>
    <row r="75" spans="1:8" x14ac:dyDescent="0.2">
      <c r="A75" s="125"/>
      <c r="B75" s="125"/>
      <c r="C75" s="161"/>
      <c r="D75" s="125"/>
      <c r="E75" s="125"/>
      <c r="F75" s="125"/>
      <c r="G75" s="125"/>
      <c r="H75" s="158"/>
    </row>
    <row r="76" spans="1:8" x14ac:dyDescent="0.2">
      <c r="A76" s="125"/>
      <c r="B76" s="125"/>
      <c r="C76" s="161"/>
      <c r="D76" s="125"/>
      <c r="E76" s="125"/>
      <c r="F76" s="125"/>
      <c r="G76" s="125"/>
      <c r="H76" s="158"/>
    </row>
    <row r="77" spans="1:8" x14ac:dyDescent="0.2">
      <c r="A77" s="125"/>
      <c r="B77" s="125"/>
      <c r="C77" s="161"/>
      <c r="D77" s="125"/>
      <c r="E77" s="125"/>
      <c r="F77" s="125"/>
      <c r="G77" s="125"/>
      <c r="H77" s="158"/>
    </row>
    <row r="78" spans="1:8" x14ac:dyDescent="0.2">
      <c r="A78" s="125"/>
      <c r="B78" s="125"/>
      <c r="C78" s="161"/>
      <c r="D78" s="125"/>
      <c r="E78" s="125"/>
      <c r="F78" s="125"/>
      <c r="G78" s="125"/>
      <c r="H78" s="158"/>
    </row>
    <row r="79" spans="1:8" x14ac:dyDescent="0.2">
      <c r="A79" s="125"/>
      <c r="B79" s="125"/>
      <c r="C79" s="161"/>
      <c r="D79" s="125"/>
      <c r="E79" s="125"/>
      <c r="F79" s="125"/>
      <c r="G79" s="125"/>
      <c r="H79" s="158"/>
    </row>
    <row r="80" spans="1:8" x14ac:dyDescent="0.2">
      <c r="A80" s="125"/>
      <c r="B80" s="125"/>
      <c r="C80" s="161"/>
      <c r="D80" s="125"/>
      <c r="E80" s="125"/>
      <c r="F80" s="125"/>
      <c r="G80" s="125"/>
      <c r="H80" s="158"/>
    </row>
    <row r="81" spans="1:8" x14ac:dyDescent="0.2">
      <c r="A81" s="125"/>
      <c r="B81" s="125"/>
      <c r="C81" s="161"/>
      <c r="D81" s="125"/>
      <c r="E81" s="125"/>
      <c r="F81" s="125"/>
      <c r="G81" s="125"/>
      <c r="H81" s="158"/>
    </row>
    <row r="82" spans="1:8" x14ac:dyDescent="0.2">
      <c r="A82" s="125"/>
      <c r="B82" s="125"/>
      <c r="C82" s="161"/>
      <c r="D82" s="125"/>
      <c r="E82" s="125"/>
      <c r="F82" s="125"/>
      <c r="G82" s="125"/>
      <c r="H82" s="158"/>
    </row>
    <row r="83" spans="1:8" x14ac:dyDescent="0.2">
      <c r="A83" s="125"/>
      <c r="B83" s="125"/>
      <c r="C83" s="161"/>
      <c r="D83" s="125"/>
      <c r="E83" s="125"/>
      <c r="F83" s="125"/>
      <c r="G83" s="125"/>
      <c r="H83" s="158"/>
    </row>
    <row r="84" spans="1:8" x14ac:dyDescent="0.2">
      <c r="A84" s="125"/>
      <c r="B84" s="125"/>
      <c r="C84" s="161"/>
      <c r="D84" s="125"/>
      <c r="E84" s="125"/>
      <c r="F84" s="125"/>
      <c r="G84" s="125"/>
      <c r="H84" s="158"/>
    </row>
    <row r="85" spans="1:8" x14ac:dyDescent="0.2">
      <c r="A85" s="125"/>
      <c r="B85" s="125"/>
      <c r="C85" s="161"/>
      <c r="D85" s="125"/>
      <c r="E85" s="125"/>
      <c r="F85" s="125"/>
      <c r="G85" s="125"/>
      <c r="H85" s="158"/>
    </row>
    <row r="86" spans="1:8" x14ac:dyDescent="0.2">
      <c r="A86" s="125"/>
      <c r="B86" s="125"/>
      <c r="C86" s="161"/>
      <c r="D86" s="125"/>
      <c r="E86" s="125"/>
      <c r="F86" s="125"/>
      <c r="G86" s="125"/>
      <c r="H86" s="158"/>
    </row>
    <row r="87" spans="1:8" x14ac:dyDescent="0.2">
      <c r="A87" s="125"/>
      <c r="B87" s="125"/>
      <c r="C87" s="161"/>
      <c r="D87" s="125"/>
      <c r="E87" s="125"/>
      <c r="F87" s="125"/>
      <c r="G87" s="125"/>
      <c r="H87" s="158"/>
    </row>
    <row r="88" spans="1:8" x14ac:dyDescent="0.2">
      <c r="A88" s="125"/>
      <c r="B88" s="125"/>
      <c r="C88" s="161"/>
      <c r="D88" s="125"/>
      <c r="E88" s="125"/>
      <c r="F88" s="125"/>
      <c r="G88" s="125"/>
      <c r="H88" s="158"/>
    </row>
    <row r="89" spans="1:8" x14ac:dyDescent="0.2">
      <c r="A89" s="125"/>
      <c r="B89" s="125"/>
      <c r="C89" s="161"/>
      <c r="D89" s="125"/>
      <c r="E89" s="125"/>
      <c r="F89" s="125"/>
      <c r="G89" s="125"/>
      <c r="H89" s="158"/>
    </row>
    <row r="90" spans="1:8" x14ac:dyDescent="0.2">
      <c r="A90" s="125"/>
      <c r="B90" s="125"/>
      <c r="C90" s="161"/>
      <c r="D90" s="125"/>
      <c r="E90" s="125"/>
      <c r="F90" s="125"/>
      <c r="G90" s="125"/>
      <c r="H90" s="158"/>
    </row>
    <row r="91" spans="1:8" x14ac:dyDescent="0.2">
      <c r="A91" s="125"/>
      <c r="B91" s="125"/>
      <c r="C91" s="161"/>
      <c r="D91" s="125"/>
      <c r="E91" s="125"/>
      <c r="F91" s="125"/>
      <c r="G91" s="125"/>
      <c r="H91" s="158"/>
    </row>
    <row r="92" spans="1:8" x14ac:dyDescent="0.2">
      <c r="A92" s="125"/>
      <c r="B92" s="125"/>
      <c r="C92" s="161"/>
      <c r="D92" s="125"/>
      <c r="E92" s="125"/>
      <c r="F92" s="125"/>
      <c r="G92" s="125"/>
      <c r="H92" s="158"/>
    </row>
    <row r="93" spans="1:8" x14ac:dyDescent="0.2">
      <c r="A93" s="125"/>
      <c r="B93" s="125"/>
      <c r="C93" s="161"/>
      <c r="D93" s="125"/>
      <c r="E93" s="125"/>
      <c r="F93" s="125"/>
      <c r="G93" s="125"/>
      <c r="H93" s="158"/>
    </row>
    <row r="94" spans="1:8" x14ac:dyDescent="0.2">
      <c r="A94" s="125"/>
      <c r="B94" s="125"/>
      <c r="C94" s="161"/>
      <c r="D94" s="125"/>
      <c r="E94" s="125"/>
      <c r="F94" s="125"/>
      <c r="G94" s="125"/>
      <c r="H94" s="158"/>
    </row>
    <row r="95" spans="1:8" x14ac:dyDescent="0.2">
      <c r="A95" s="125"/>
      <c r="B95" s="125"/>
      <c r="C95" s="161"/>
      <c r="D95" s="125"/>
      <c r="E95" s="125"/>
      <c r="F95" s="125"/>
      <c r="G95" s="125"/>
      <c r="H95" s="158"/>
    </row>
    <row r="96" spans="1:8" x14ac:dyDescent="0.2">
      <c r="A96" s="125"/>
      <c r="B96" s="125"/>
      <c r="C96" s="161"/>
      <c r="D96" s="125"/>
      <c r="E96" s="125"/>
      <c r="F96" s="125"/>
      <c r="G96" s="125"/>
      <c r="H96" s="158"/>
    </row>
    <row r="97" spans="1:8" x14ac:dyDescent="0.2">
      <c r="A97" s="125"/>
      <c r="B97" s="125"/>
      <c r="C97" s="161"/>
      <c r="D97" s="125"/>
      <c r="E97" s="125"/>
      <c r="F97" s="125"/>
      <c r="G97" s="125"/>
      <c r="H97" s="158"/>
    </row>
    <row r="98" spans="1:8" x14ac:dyDescent="0.2">
      <c r="A98" s="125"/>
      <c r="B98" s="125"/>
      <c r="C98" s="161"/>
      <c r="D98" s="125"/>
      <c r="E98" s="125"/>
      <c r="F98" s="125"/>
      <c r="G98" s="125"/>
      <c r="H98" s="158"/>
    </row>
    <row r="99" spans="1:8" x14ac:dyDescent="0.2">
      <c r="A99" s="125"/>
      <c r="B99" s="125"/>
      <c r="C99" s="161"/>
      <c r="D99" s="125"/>
      <c r="E99" s="125"/>
      <c r="F99" s="125"/>
      <c r="G99" s="125"/>
      <c r="H99" s="158"/>
    </row>
    <row r="100" spans="1:8" x14ac:dyDescent="0.2">
      <c r="A100" s="125"/>
      <c r="B100" s="125"/>
      <c r="C100" s="161"/>
      <c r="D100" s="125"/>
      <c r="E100" s="125"/>
      <c r="F100" s="125"/>
      <c r="G100" s="125"/>
      <c r="H100" s="158"/>
    </row>
    <row r="101" spans="1:8" x14ac:dyDescent="0.2">
      <c r="A101" s="125"/>
      <c r="B101" s="125"/>
      <c r="C101" s="161"/>
      <c r="D101" s="125"/>
      <c r="E101" s="125"/>
      <c r="F101" s="125"/>
      <c r="G101" s="125"/>
      <c r="H101" s="158"/>
    </row>
    <row r="102" spans="1:8" x14ac:dyDescent="0.2">
      <c r="A102" s="125"/>
      <c r="B102" s="125"/>
      <c r="C102" s="161"/>
      <c r="D102" s="125"/>
      <c r="E102" s="125"/>
      <c r="F102" s="125"/>
      <c r="G102" s="125"/>
      <c r="H102" s="158"/>
    </row>
    <row r="103" spans="1:8" x14ac:dyDescent="0.2">
      <c r="A103" s="125"/>
      <c r="B103" s="125"/>
      <c r="C103" s="161"/>
      <c r="D103" s="125"/>
      <c r="E103" s="125"/>
      <c r="F103" s="125"/>
      <c r="G103" s="125"/>
      <c r="H103" s="158"/>
    </row>
    <row r="104" spans="1:8" x14ac:dyDescent="0.2">
      <c r="A104" s="125"/>
      <c r="B104" s="125"/>
      <c r="C104" s="161"/>
      <c r="D104" s="125"/>
      <c r="E104" s="125"/>
      <c r="F104" s="125"/>
      <c r="G104" s="125"/>
    </row>
    <row r="105" spans="1:8" x14ac:dyDescent="0.2">
      <c r="A105" s="125"/>
      <c r="B105" s="125"/>
      <c r="C105" s="161"/>
      <c r="D105" s="125"/>
      <c r="E105" s="125"/>
      <c r="F105" s="125"/>
      <c r="G105" s="125"/>
    </row>
    <row r="106" spans="1:8" x14ac:dyDescent="0.2">
      <c r="A106" s="125"/>
      <c r="B106" s="125"/>
      <c r="C106" s="161"/>
      <c r="D106" s="125"/>
      <c r="E106" s="125"/>
      <c r="F106" s="125"/>
      <c r="G106" s="125"/>
    </row>
    <row r="107" spans="1:8" x14ac:dyDescent="0.2">
      <c r="A107" s="125"/>
      <c r="B107" s="125"/>
      <c r="C107" s="161"/>
      <c r="D107" s="125"/>
      <c r="E107" s="125"/>
      <c r="F107" s="125"/>
      <c r="G107" s="125"/>
    </row>
    <row r="108" spans="1:8" x14ac:dyDescent="0.2">
      <c r="A108" s="125"/>
      <c r="B108" s="125"/>
      <c r="C108" s="161"/>
      <c r="D108" s="125"/>
      <c r="E108" s="125"/>
      <c r="F108" s="125"/>
      <c r="G108" s="125"/>
    </row>
    <row r="109" spans="1:8" x14ac:dyDescent="0.2">
      <c r="A109" s="125"/>
      <c r="B109" s="125"/>
      <c r="C109" s="161"/>
      <c r="D109" s="125"/>
      <c r="E109" s="125"/>
      <c r="F109" s="125"/>
      <c r="G109" s="125"/>
    </row>
    <row r="110" spans="1:8" x14ac:dyDescent="0.2">
      <c r="A110" s="125"/>
      <c r="B110" s="125"/>
      <c r="C110" s="161"/>
      <c r="D110" s="125"/>
      <c r="E110" s="125"/>
      <c r="F110" s="125"/>
      <c r="G110" s="125"/>
    </row>
    <row r="111" spans="1:8" x14ac:dyDescent="0.2">
      <c r="A111" s="125"/>
      <c r="B111" s="125"/>
      <c r="C111" s="161"/>
      <c r="D111" s="125"/>
      <c r="E111" s="125"/>
      <c r="F111" s="125"/>
      <c r="G111" s="125"/>
    </row>
    <row r="112" spans="1:8" x14ac:dyDescent="0.2">
      <c r="A112" s="125"/>
      <c r="B112" s="125"/>
      <c r="C112" s="161"/>
      <c r="D112" s="125"/>
      <c r="E112" s="125"/>
      <c r="F112" s="125"/>
      <c r="G112" s="125"/>
    </row>
    <row r="113" spans="1:7" x14ac:dyDescent="0.2">
      <c r="A113" s="125"/>
      <c r="B113" s="125"/>
      <c r="C113" s="161"/>
      <c r="D113" s="125"/>
      <c r="E113" s="125"/>
      <c r="F113" s="125"/>
      <c r="G113" s="125"/>
    </row>
    <row r="114" spans="1:7" x14ac:dyDescent="0.2">
      <c r="A114" s="125"/>
      <c r="B114" s="125"/>
      <c r="C114" s="161"/>
      <c r="D114" s="125"/>
      <c r="E114" s="125"/>
      <c r="F114" s="125"/>
      <c r="G114" s="125"/>
    </row>
    <row r="115" spans="1:7" x14ac:dyDescent="0.2">
      <c r="A115" s="125"/>
      <c r="B115" s="125"/>
      <c r="C115" s="161"/>
      <c r="D115" s="125"/>
      <c r="E115" s="125"/>
      <c r="F115" s="125"/>
      <c r="G115" s="125"/>
    </row>
    <row r="116" spans="1:7" x14ac:dyDescent="0.2">
      <c r="A116" s="125"/>
      <c r="B116" s="125"/>
      <c r="C116" s="161"/>
      <c r="D116" s="125"/>
      <c r="E116" s="125"/>
      <c r="F116" s="125"/>
      <c r="G116" s="125"/>
    </row>
    <row r="117" spans="1:7" x14ac:dyDescent="0.2">
      <c r="A117" s="125"/>
      <c r="B117" s="125"/>
      <c r="C117" s="161"/>
      <c r="D117" s="125"/>
      <c r="E117" s="125"/>
      <c r="F117" s="125"/>
      <c r="G117" s="125"/>
    </row>
    <row r="118" spans="1:7" x14ac:dyDescent="0.2">
      <c r="A118" s="125"/>
      <c r="B118" s="125"/>
      <c r="C118" s="161"/>
      <c r="D118" s="125"/>
      <c r="E118" s="125"/>
      <c r="F118" s="125"/>
      <c r="G118" s="125"/>
    </row>
    <row r="119" spans="1:7" x14ac:dyDescent="0.2">
      <c r="A119" s="125"/>
      <c r="B119" s="125"/>
      <c r="C119" s="161"/>
      <c r="D119" s="125"/>
      <c r="E119" s="125"/>
      <c r="F119" s="125"/>
      <c r="G119" s="125"/>
    </row>
    <row r="120" spans="1:7" x14ac:dyDescent="0.2">
      <c r="A120" s="125"/>
      <c r="B120" s="125"/>
      <c r="C120" s="161"/>
      <c r="D120" s="125"/>
      <c r="E120" s="125"/>
      <c r="F120" s="125"/>
      <c r="G120" s="125"/>
    </row>
    <row r="121" spans="1:7" x14ac:dyDescent="0.2">
      <c r="A121" s="125"/>
      <c r="B121" s="125"/>
      <c r="C121" s="161"/>
      <c r="D121" s="125"/>
      <c r="E121" s="125"/>
      <c r="F121" s="125"/>
      <c r="G121" s="125"/>
    </row>
    <row r="122" spans="1:7" x14ac:dyDescent="0.2">
      <c r="A122" s="125"/>
      <c r="B122" s="125"/>
      <c r="C122" s="161"/>
      <c r="D122" s="125"/>
      <c r="E122" s="125"/>
      <c r="F122" s="125"/>
      <c r="G122" s="125"/>
    </row>
    <row r="123" spans="1:7" x14ac:dyDescent="0.2">
      <c r="A123" s="125"/>
      <c r="B123" s="125"/>
      <c r="C123" s="161"/>
      <c r="D123" s="125"/>
      <c r="E123" s="125"/>
      <c r="F123" s="125"/>
      <c r="G123" s="125"/>
    </row>
    <row r="124" spans="1:7" x14ac:dyDescent="0.2">
      <c r="A124" s="125"/>
      <c r="B124" s="125"/>
      <c r="C124" s="161"/>
      <c r="D124" s="125"/>
      <c r="E124" s="125"/>
      <c r="F124" s="125"/>
      <c r="G124" s="125"/>
    </row>
    <row r="125" spans="1:7" x14ac:dyDescent="0.2">
      <c r="A125" s="125"/>
      <c r="B125" s="125"/>
      <c r="C125" s="161"/>
      <c r="D125" s="125"/>
      <c r="E125" s="125"/>
      <c r="F125" s="125"/>
      <c r="G125" s="125"/>
    </row>
    <row r="126" spans="1:7" x14ac:dyDescent="0.2">
      <c r="A126" s="125"/>
      <c r="B126" s="125"/>
      <c r="C126" s="161"/>
      <c r="D126" s="125"/>
      <c r="E126" s="125"/>
      <c r="F126" s="125"/>
      <c r="G126" s="125"/>
    </row>
    <row r="127" spans="1:7" x14ac:dyDescent="0.2">
      <c r="A127" s="125"/>
      <c r="B127" s="125"/>
      <c r="C127" s="161"/>
      <c r="D127" s="125"/>
      <c r="E127" s="125"/>
      <c r="F127" s="125"/>
      <c r="G127" s="125"/>
    </row>
    <row r="128" spans="1:7" x14ac:dyDescent="0.2">
      <c r="A128" s="125"/>
      <c r="B128" s="125"/>
      <c r="C128" s="161"/>
      <c r="D128" s="125"/>
      <c r="E128" s="125"/>
      <c r="F128" s="125"/>
      <c r="G128" s="125"/>
    </row>
    <row r="129" spans="1:7" x14ac:dyDescent="0.2">
      <c r="A129" s="125"/>
      <c r="B129" s="125"/>
      <c r="C129" s="161"/>
      <c r="D129" s="125"/>
      <c r="E129" s="125"/>
      <c r="F129" s="125"/>
      <c r="G129" s="125"/>
    </row>
    <row r="130" spans="1:7" x14ac:dyDescent="0.2">
      <c r="A130" s="125"/>
      <c r="B130" s="125"/>
      <c r="C130" s="161"/>
      <c r="D130" s="125"/>
      <c r="E130" s="125"/>
      <c r="F130" s="125"/>
      <c r="G130" s="125"/>
    </row>
    <row r="131" spans="1:7" x14ac:dyDescent="0.2">
      <c r="A131" s="125"/>
      <c r="B131" s="125"/>
      <c r="C131" s="161"/>
      <c r="D131" s="125"/>
      <c r="E131" s="125"/>
      <c r="F131" s="125"/>
      <c r="G131" s="125"/>
    </row>
    <row r="132" spans="1:7" x14ac:dyDescent="0.2">
      <c r="A132" s="125"/>
      <c r="B132" s="125"/>
      <c r="C132" s="161"/>
      <c r="D132" s="125"/>
      <c r="E132" s="125"/>
      <c r="F132" s="125"/>
      <c r="G132" s="125"/>
    </row>
    <row r="133" spans="1:7" x14ac:dyDescent="0.2">
      <c r="A133" s="125"/>
      <c r="B133" s="125"/>
      <c r="C133" s="161"/>
      <c r="D133" s="125"/>
      <c r="E133" s="125"/>
      <c r="F133" s="125"/>
      <c r="G133" s="125"/>
    </row>
    <row r="134" spans="1:7" x14ac:dyDescent="0.2">
      <c r="A134" s="125"/>
      <c r="B134" s="125"/>
      <c r="C134" s="161"/>
      <c r="D134" s="125"/>
      <c r="E134" s="125"/>
      <c r="F134" s="125"/>
      <c r="G134" s="125"/>
    </row>
    <row r="135" spans="1:7" x14ac:dyDescent="0.2">
      <c r="A135" s="125"/>
      <c r="B135" s="125"/>
      <c r="C135" s="161"/>
      <c r="D135" s="125"/>
      <c r="E135" s="125"/>
      <c r="F135" s="125"/>
      <c r="G135" s="125"/>
    </row>
    <row r="136" spans="1:7" x14ac:dyDescent="0.2">
      <c r="A136" s="125"/>
      <c r="B136" s="125"/>
      <c r="C136" s="161"/>
      <c r="D136" s="125"/>
      <c r="E136" s="125"/>
      <c r="F136" s="125"/>
      <c r="G136" s="125"/>
    </row>
    <row r="137" spans="1:7" x14ac:dyDescent="0.2">
      <c r="A137" s="125"/>
      <c r="B137" s="125"/>
      <c r="C137" s="161"/>
      <c r="D137" s="125"/>
      <c r="E137" s="125"/>
      <c r="F137" s="125"/>
      <c r="G137" s="125"/>
    </row>
    <row r="138" spans="1:7" x14ac:dyDescent="0.2">
      <c r="A138" s="125"/>
      <c r="B138" s="125"/>
      <c r="C138" s="161"/>
      <c r="D138" s="125"/>
      <c r="E138" s="125"/>
      <c r="F138" s="125"/>
      <c r="G138" s="125"/>
    </row>
    <row r="139" spans="1:7" x14ac:dyDescent="0.2">
      <c r="A139" s="125"/>
      <c r="B139" s="125"/>
      <c r="C139" s="161"/>
      <c r="D139" s="125"/>
      <c r="E139" s="125"/>
      <c r="F139" s="125"/>
      <c r="G139" s="125"/>
    </row>
    <row r="140" spans="1:7" x14ac:dyDescent="0.2">
      <c r="A140" s="125"/>
      <c r="B140" s="125"/>
      <c r="C140" s="161"/>
      <c r="D140" s="125"/>
      <c r="E140" s="125"/>
      <c r="F140" s="125"/>
      <c r="G140" s="125"/>
    </row>
    <row r="141" spans="1:7" x14ac:dyDescent="0.2">
      <c r="A141" s="125"/>
      <c r="B141" s="125"/>
      <c r="C141" s="161"/>
      <c r="D141" s="125"/>
      <c r="E141" s="125"/>
      <c r="F141" s="125"/>
      <c r="G141" s="125"/>
    </row>
    <row r="142" spans="1:7" x14ac:dyDescent="0.2">
      <c r="A142" s="125"/>
      <c r="B142" s="125"/>
      <c r="C142" s="161"/>
      <c r="D142" s="125"/>
      <c r="E142" s="125"/>
      <c r="F142" s="125"/>
      <c r="G142" s="125"/>
    </row>
    <row r="143" spans="1:7" x14ac:dyDescent="0.2">
      <c r="A143" s="125"/>
      <c r="B143" s="125"/>
      <c r="C143" s="161"/>
      <c r="D143" s="125"/>
      <c r="E143" s="125"/>
      <c r="F143" s="125"/>
      <c r="G143" s="125"/>
    </row>
    <row r="144" spans="1:7" x14ac:dyDescent="0.2">
      <c r="A144" s="125"/>
      <c r="B144" s="125"/>
      <c r="C144" s="161"/>
      <c r="D144" s="125"/>
      <c r="E144" s="125"/>
      <c r="F144" s="125"/>
      <c r="G144" s="125"/>
    </row>
    <row r="145" spans="1:7" x14ac:dyDescent="0.2">
      <c r="A145" s="125"/>
      <c r="B145" s="125"/>
      <c r="C145" s="161"/>
      <c r="D145" s="125"/>
      <c r="E145" s="125"/>
      <c r="F145" s="125"/>
      <c r="G145" s="125"/>
    </row>
    <row r="146" spans="1:7" x14ac:dyDescent="0.2">
      <c r="A146" s="125"/>
      <c r="B146" s="125"/>
      <c r="C146" s="161"/>
      <c r="D146" s="125"/>
      <c r="E146" s="125"/>
      <c r="F146" s="125"/>
      <c r="G146" s="125"/>
    </row>
    <row r="147" spans="1:7" x14ac:dyDescent="0.2">
      <c r="A147" s="125"/>
      <c r="B147" s="125"/>
      <c r="C147" s="161"/>
      <c r="D147" s="125"/>
      <c r="E147" s="125"/>
      <c r="F147" s="125"/>
      <c r="G147" s="125"/>
    </row>
    <row r="148" spans="1:7" x14ac:dyDescent="0.2">
      <c r="A148" s="125"/>
      <c r="B148" s="125"/>
      <c r="C148" s="161"/>
      <c r="D148" s="125"/>
      <c r="E148" s="125"/>
      <c r="F148" s="125"/>
      <c r="G148" s="125"/>
    </row>
    <row r="149" spans="1:7" x14ac:dyDescent="0.2">
      <c r="A149" s="125"/>
      <c r="B149" s="125"/>
      <c r="C149" s="161"/>
      <c r="D149" s="125"/>
      <c r="E149" s="125"/>
      <c r="F149" s="125"/>
      <c r="G149" s="125"/>
    </row>
    <row r="150" spans="1:7" x14ac:dyDescent="0.2">
      <c r="A150" s="125"/>
      <c r="B150" s="125"/>
      <c r="C150" s="161"/>
      <c r="D150" s="125"/>
      <c r="E150" s="125"/>
      <c r="F150" s="125"/>
      <c r="G150" s="125"/>
    </row>
    <row r="151" spans="1:7" x14ac:dyDescent="0.2">
      <c r="A151" s="125"/>
      <c r="B151" s="125"/>
      <c r="C151" s="161"/>
      <c r="D151" s="125"/>
      <c r="E151" s="125"/>
      <c r="F151" s="125"/>
      <c r="G151" s="125"/>
    </row>
    <row r="152" spans="1:7" x14ac:dyDescent="0.2">
      <c r="A152" s="125"/>
      <c r="B152" s="125"/>
      <c r="C152" s="161"/>
      <c r="D152" s="125"/>
      <c r="E152" s="125"/>
      <c r="F152" s="125"/>
      <c r="G152" s="125"/>
    </row>
    <row r="153" spans="1:7" x14ac:dyDescent="0.2">
      <c r="A153" s="125"/>
      <c r="B153" s="125"/>
      <c r="C153" s="161"/>
      <c r="D153" s="125"/>
      <c r="E153" s="125"/>
      <c r="F153" s="125"/>
      <c r="G153" s="125"/>
    </row>
    <row r="154" spans="1:7" x14ac:dyDescent="0.2">
      <c r="A154" s="125"/>
      <c r="B154" s="125"/>
      <c r="C154" s="161"/>
      <c r="D154" s="125"/>
      <c r="E154" s="125"/>
      <c r="F154" s="125"/>
      <c r="G154" s="125"/>
    </row>
    <row r="155" spans="1:7" x14ac:dyDescent="0.2">
      <c r="A155" s="125"/>
      <c r="B155" s="125"/>
      <c r="C155" s="161"/>
      <c r="D155" s="125"/>
      <c r="E155" s="125"/>
      <c r="F155" s="125"/>
      <c r="G155" s="125"/>
    </row>
    <row r="156" spans="1:7" x14ac:dyDescent="0.2">
      <c r="A156" s="125"/>
      <c r="B156" s="125"/>
      <c r="C156" s="161"/>
      <c r="D156" s="125"/>
      <c r="E156" s="125"/>
      <c r="F156" s="125"/>
      <c r="G156" s="125"/>
    </row>
    <row r="157" spans="1:7" x14ac:dyDescent="0.2">
      <c r="A157" s="125"/>
      <c r="B157" s="125"/>
      <c r="C157" s="161"/>
      <c r="D157" s="125"/>
      <c r="E157" s="125"/>
      <c r="F157" s="125"/>
      <c r="G157" s="125"/>
    </row>
    <row r="158" spans="1:7" x14ac:dyDescent="0.2">
      <c r="A158" s="125"/>
      <c r="B158" s="125"/>
      <c r="C158" s="161"/>
      <c r="D158" s="125"/>
      <c r="E158" s="125"/>
      <c r="F158" s="125"/>
      <c r="G158" s="125"/>
    </row>
    <row r="159" spans="1:7" x14ac:dyDescent="0.2">
      <c r="A159" s="125"/>
      <c r="B159" s="125"/>
      <c r="C159" s="161"/>
      <c r="D159" s="125"/>
      <c r="E159" s="125"/>
      <c r="F159" s="125"/>
      <c r="G159" s="125"/>
    </row>
    <row r="160" spans="1:7" x14ac:dyDescent="0.2">
      <c r="A160" s="125"/>
      <c r="B160" s="125"/>
      <c r="C160" s="161"/>
      <c r="D160" s="125"/>
      <c r="E160" s="125"/>
      <c r="F160" s="125"/>
      <c r="G160" s="125"/>
    </row>
    <row r="161" spans="1:7" x14ac:dyDescent="0.2">
      <c r="A161" s="125"/>
      <c r="B161" s="125"/>
      <c r="C161" s="161"/>
      <c r="D161" s="125"/>
      <c r="E161" s="125"/>
      <c r="F161" s="125"/>
      <c r="G161" s="125"/>
    </row>
    <row r="162" spans="1:7" x14ac:dyDescent="0.2">
      <c r="A162" s="125"/>
      <c r="B162" s="125"/>
      <c r="C162" s="161"/>
      <c r="D162" s="125"/>
      <c r="E162" s="125"/>
      <c r="F162" s="125"/>
      <c r="G162" s="125"/>
    </row>
    <row r="163" spans="1:7" x14ac:dyDescent="0.2">
      <c r="A163" s="125"/>
      <c r="B163" s="125"/>
      <c r="C163" s="161"/>
      <c r="D163" s="125"/>
      <c r="E163" s="125"/>
      <c r="F163" s="125"/>
      <c r="G163" s="125"/>
    </row>
    <row r="164" spans="1:7" x14ac:dyDescent="0.2">
      <c r="A164" s="125"/>
      <c r="B164" s="125"/>
      <c r="C164" s="161"/>
      <c r="D164" s="125"/>
      <c r="E164" s="125"/>
      <c r="F164" s="125"/>
      <c r="G164" s="125"/>
    </row>
    <row r="165" spans="1:7" x14ac:dyDescent="0.2">
      <c r="A165" s="125"/>
      <c r="B165" s="125"/>
      <c r="C165" s="161"/>
      <c r="D165" s="125"/>
      <c r="E165" s="125"/>
      <c r="F165" s="125"/>
      <c r="G165" s="125"/>
    </row>
    <row r="166" spans="1:7" x14ac:dyDescent="0.2">
      <c r="A166" s="125"/>
      <c r="B166" s="125"/>
      <c r="C166" s="162"/>
      <c r="D166" s="125"/>
      <c r="E166" s="125"/>
      <c r="F166" s="125"/>
      <c r="G166" s="125"/>
    </row>
    <row r="167" spans="1:7" x14ac:dyDescent="0.2">
      <c r="C167" s="162"/>
    </row>
    <row r="168" spans="1:7" x14ac:dyDescent="0.2">
      <c r="C168" s="162"/>
    </row>
    <row r="169" spans="1:7" x14ac:dyDescent="0.2">
      <c r="C169" s="162"/>
    </row>
    <row r="170" spans="1:7" x14ac:dyDescent="0.2">
      <c r="C170" s="162"/>
    </row>
    <row r="171" spans="1:7" x14ac:dyDescent="0.2">
      <c r="C171" s="162"/>
    </row>
    <row r="172" spans="1:7" x14ac:dyDescent="0.2">
      <c r="C172" s="162"/>
    </row>
    <row r="173" spans="1:7" x14ac:dyDescent="0.2">
      <c r="C173" s="162"/>
    </row>
    <row r="174" spans="1:7" x14ac:dyDescent="0.2">
      <c r="C174" s="162"/>
    </row>
    <row r="175" spans="1:7" x14ac:dyDescent="0.2">
      <c r="C175" s="162"/>
    </row>
    <row r="176" spans="1:7" x14ac:dyDescent="0.2">
      <c r="C176" s="162"/>
    </row>
    <row r="177" spans="3:3" x14ac:dyDescent="0.2">
      <c r="C177" s="162"/>
    </row>
    <row r="178" spans="3:3" x14ac:dyDescent="0.2">
      <c r="C178" s="162"/>
    </row>
    <row r="179" spans="3:3" x14ac:dyDescent="0.2">
      <c r="C179" s="162"/>
    </row>
    <row r="180" spans="3:3" x14ac:dyDescent="0.2">
      <c r="C180" s="162"/>
    </row>
    <row r="181" spans="3:3" x14ac:dyDescent="0.2">
      <c r="C181" s="162"/>
    </row>
    <row r="182" spans="3:3" x14ac:dyDescent="0.2">
      <c r="C182" s="162"/>
    </row>
    <row r="183" spans="3:3" x14ac:dyDescent="0.2">
      <c r="C183" s="162"/>
    </row>
    <row r="184" spans="3:3" x14ac:dyDescent="0.2">
      <c r="C184" s="162"/>
    </row>
    <row r="185" spans="3:3" x14ac:dyDescent="0.2">
      <c r="C185" s="162"/>
    </row>
    <row r="186" spans="3:3" x14ac:dyDescent="0.2">
      <c r="C186" s="162"/>
    </row>
    <row r="187" spans="3:3" x14ac:dyDescent="0.2">
      <c r="C187" s="162"/>
    </row>
    <row r="188" spans="3:3" x14ac:dyDescent="0.2">
      <c r="C188" s="162"/>
    </row>
    <row r="189" spans="3:3" x14ac:dyDescent="0.2">
      <c r="C189" s="162"/>
    </row>
    <row r="190" spans="3:3" x14ac:dyDescent="0.2">
      <c r="C190" s="162"/>
    </row>
    <row r="191" spans="3:3" x14ac:dyDescent="0.2">
      <c r="C191" s="162"/>
    </row>
    <row r="192" spans="3:3" x14ac:dyDescent="0.2">
      <c r="C192" s="162"/>
    </row>
    <row r="193" spans="3:3" x14ac:dyDescent="0.2">
      <c r="C193" s="162"/>
    </row>
    <row r="194" spans="3:3" x14ac:dyDescent="0.2">
      <c r="C194" s="162"/>
    </row>
    <row r="195" spans="3:3" x14ac:dyDescent="0.2">
      <c r="C195" s="162"/>
    </row>
    <row r="196" spans="3:3" x14ac:dyDescent="0.2">
      <c r="C196" s="162"/>
    </row>
    <row r="197" spans="3:3" x14ac:dyDescent="0.2">
      <c r="C197" s="162"/>
    </row>
    <row r="198" spans="3:3" x14ac:dyDescent="0.2">
      <c r="C198" s="162"/>
    </row>
    <row r="199" spans="3:3" x14ac:dyDescent="0.2">
      <c r="C199" s="162"/>
    </row>
    <row r="200" spans="3:3" x14ac:dyDescent="0.2">
      <c r="C200" s="162"/>
    </row>
    <row r="201" spans="3:3" x14ac:dyDescent="0.2">
      <c r="C201" s="162"/>
    </row>
    <row r="202" spans="3:3" x14ac:dyDescent="0.2">
      <c r="C202" s="162"/>
    </row>
  </sheetData>
  <autoFilter ref="K12:K15"/>
  <mergeCells count="7">
    <mergeCell ref="H2:J2"/>
    <mergeCell ref="H3:J3"/>
    <mergeCell ref="A39:B39"/>
    <mergeCell ref="A7:B7"/>
    <mergeCell ref="A8:B8"/>
    <mergeCell ref="A6:J6"/>
    <mergeCell ref="A5:J5"/>
  </mergeCells>
  <phoneticPr fontId="58" type="noConversion"/>
  <pageMargins left="0.44" right="0.15748031496062992" top="0.15748031496062992" bottom="0.23" header="0.15748031496062992" footer="0.15748031496062992"/>
  <pageSetup paperSize="9" scale="80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zoomScaleNormal="100" workbookViewId="0">
      <selection activeCell="C4" sqref="C4"/>
    </sheetView>
  </sheetViews>
  <sheetFormatPr defaultRowHeight="12.75" x14ac:dyDescent="0.2"/>
  <cols>
    <col min="1" max="2" width="20.7109375" customWidth="1"/>
    <col min="3" max="3" width="97.42578125" customWidth="1"/>
    <col min="4" max="4" width="20.7109375" customWidth="1"/>
  </cols>
  <sheetData>
    <row r="1" spans="1:6" x14ac:dyDescent="0.2">
      <c r="A1" s="48"/>
      <c r="C1" s="230" t="s">
        <v>387</v>
      </c>
      <c r="D1" s="226"/>
    </row>
    <row r="2" spans="1:6" ht="42.75" customHeight="1" x14ac:dyDescent="0.25">
      <c r="C2" s="236" t="s">
        <v>488</v>
      </c>
      <c r="D2" s="236"/>
      <c r="E2" s="96"/>
    </row>
    <row r="3" spans="1:6" ht="16.5" customHeight="1" x14ac:dyDescent="0.2">
      <c r="C3" s="230" t="s">
        <v>637</v>
      </c>
      <c r="D3" s="226"/>
    </row>
    <row r="4" spans="1:6" ht="25.5" customHeight="1" x14ac:dyDescent="0.2">
      <c r="C4" s="3"/>
      <c r="D4" s="48"/>
    </row>
    <row r="5" spans="1:6" ht="25.5" customHeight="1" x14ac:dyDescent="0.25">
      <c r="A5" s="196" t="s">
        <v>477</v>
      </c>
      <c r="B5" s="196"/>
      <c r="C5" s="196"/>
      <c r="D5" s="196"/>
      <c r="E5" s="95"/>
      <c r="F5" s="95"/>
    </row>
    <row r="6" spans="1:6" ht="15.75" x14ac:dyDescent="0.25">
      <c r="A6" s="199" t="s">
        <v>478</v>
      </c>
      <c r="B6" s="200"/>
      <c r="C6" s="200"/>
      <c r="D6" s="200"/>
    </row>
    <row r="7" spans="1:6" x14ac:dyDescent="0.2">
      <c r="A7" s="231" t="s">
        <v>621</v>
      </c>
      <c r="B7" s="232"/>
      <c r="C7" s="232"/>
      <c r="D7" s="232"/>
    </row>
    <row r="8" spans="1:6" x14ac:dyDescent="0.2">
      <c r="A8" s="232" t="s">
        <v>622</v>
      </c>
      <c r="B8" s="232"/>
      <c r="C8" s="232"/>
      <c r="D8" s="232"/>
    </row>
    <row r="9" spans="1:6" ht="21.95" customHeight="1" x14ac:dyDescent="0.25">
      <c r="A9" s="50" t="s">
        <v>512</v>
      </c>
    </row>
    <row r="10" spans="1:6" x14ac:dyDescent="0.2">
      <c r="D10" s="3" t="s">
        <v>199</v>
      </c>
    </row>
    <row r="11" spans="1:6" ht="38.25" customHeight="1" x14ac:dyDescent="0.2">
      <c r="A11" s="51" t="s">
        <v>388</v>
      </c>
      <c r="B11" s="227" t="s">
        <v>389</v>
      </c>
      <c r="C11" s="228"/>
      <c r="D11" s="51" t="s">
        <v>202</v>
      </c>
    </row>
    <row r="12" spans="1:6" x14ac:dyDescent="0.2">
      <c r="A12" s="51">
        <v>1</v>
      </c>
      <c r="B12" s="227">
        <v>2</v>
      </c>
      <c r="C12" s="228"/>
      <c r="D12" s="51">
        <v>3</v>
      </c>
    </row>
    <row r="13" spans="1:6" ht="15" x14ac:dyDescent="0.25">
      <c r="A13" s="229" t="s">
        <v>390</v>
      </c>
      <c r="B13" s="229"/>
      <c r="C13" s="229"/>
      <c r="D13" s="229"/>
    </row>
    <row r="14" spans="1:6" ht="21.75" hidden="1" customHeight="1" x14ac:dyDescent="0.2">
      <c r="A14" s="52" t="s">
        <v>370</v>
      </c>
      <c r="B14" s="53" t="s">
        <v>371</v>
      </c>
      <c r="C14" s="54"/>
      <c r="D14" s="55">
        <f>D15</f>
        <v>35338900</v>
      </c>
    </row>
    <row r="15" spans="1:6" ht="20.25" hidden="1" customHeight="1" x14ac:dyDescent="0.2">
      <c r="A15" s="56">
        <v>9900000000</v>
      </c>
      <c r="B15" s="57" t="s">
        <v>391</v>
      </c>
      <c r="C15" s="58"/>
      <c r="D15" s="59">
        <v>35338900</v>
      </c>
    </row>
    <row r="16" spans="1:6" ht="21.75" hidden="1" customHeight="1" x14ac:dyDescent="0.2">
      <c r="A16" s="52" t="s">
        <v>374</v>
      </c>
      <c r="B16" s="53" t="s">
        <v>375</v>
      </c>
      <c r="C16" s="54"/>
      <c r="D16" s="55">
        <f>D17</f>
        <v>109673500</v>
      </c>
    </row>
    <row r="17" spans="1:4" ht="19.5" hidden="1" customHeight="1" x14ac:dyDescent="0.2">
      <c r="A17" s="56">
        <v>9900000000</v>
      </c>
      <c r="B17" s="57" t="s">
        <v>391</v>
      </c>
      <c r="C17" s="58"/>
      <c r="D17" s="59">
        <v>109673500</v>
      </c>
    </row>
    <row r="18" spans="1:4" ht="21" hidden="1" customHeight="1" x14ac:dyDescent="0.2">
      <c r="A18" s="52">
        <v>41040400</v>
      </c>
      <c r="B18" s="175" t="s">
        <v>593</v>
      </c>
      <c r="C18" s="54"/>
      <c r="D18" s="55">
        <f>D19</f>
        <v>587177</v>
      </c>
    </row>
    <row r="19" spans="1:4" ht="19.5" hidden="1" customHeight="1" x14ac:dyDescent="0.2">
      <c r="A19" s="56" t="s">
        <v>392</v>
      </c>
      <c r="B19" s="57" t="s">
        <v>393</v>
      </c>
      <c r="C19" s="58"/>
      <c r="D19" s="60">
        <f>231150+356027</f>
        <v>587177</v>
      </c>
    </row>
    <row r="20" spans="1:4" ht="22.5" hidden="1" customHeight="1" x14ac:dyDescent="0.2">
      <c r="A20" s="52" t="s">
        <v>394</v>
      </c>
      <c r="B20" s="53" t="s">
        <v>380</v>
      </c>
      <c r="C20" s="54"/>
      <c r="D20" s="55">
        <f>D21</f>
        <v>1495000</v>
      </c>
    </row>
    <row r="21" spans="1:4" ht="20.25" hidden="1" customHeight="1" x14ac:dyDescent="0.2">
      <c r="A21" s="56">
        <v>1310000000</v>
      </c>
      <c r="B21" s="57" t="s">
        <v>393</v>
      </c>
      <c r="C21" s="58"/>
      <c r="D21" s="60">
        <v>1495000</v>
      </c>
    </row>
    <row r="22" spans="1:4" ht="33" hidden="1" customHeight="1" x14ac:dyDescent="0.2">
      <c r="A22" s="52" t="s">
        <v>395</v>
      </c>
      <c r="B22" s="53" t="s">
        <v>381</v>
      </c>
      <c r="C22" s="54"/>
      <c r="D22" s="55">
        <f>D23</f>
        <v>324000</v>
      </c>
    </row>
    <row r="23" spans="1:4" ht="19.5" hidden="1" customHeight="1" x14ac:dyDescent="0.2">
      <c r="A23" s="56">
        <v>1310000000</v>
      </c>
      <c r="B23" s="57" t="s">
        <v>393</v>
      </c>
      <c r="C23" s="58"/>
      <c r="D23" s="60">
        <v>324000</v>
      </c>
    </row>
    <row r="24" spans="1:4" ht="17.25" hidden="1" customHeight="1" x14ac:dyDescent="0.2">
      <c r="A24" s="52" t="s">
        <v>382</v>
      </c>
      <c r="B24" s="53" t="s">
        <v>383</v>
      </c>
      <c r="C24" s="54"/>
      <c r="D24" s="55">
        <f>SUM(D25:D27)</f>
        <v>1304377.26</v>
      </c>
    </row>
    <row r="25" spans="1:4" ht="21.75" hidden="1" customHeight="1" x14ac:dyDescent="0.2">
      <c r="A25" s="56">
        <v>1310000000</v>
      </c>
      <c r="B25" s="57" t="s">
        <v>393</v>
      </c>
      <c r="C25" s="58"/>
      <c r="D25" s="60">
        <f>24400+97470+5000+8400+28000+220000</f>
        <v>383270</v>
      </c>
    </row>
    <row r="26" spans="1:4" ht="21" hidden="1" customHeight="1" x14ac:dyDescent="0.2">
      <c r="A26" s="56">
        <v>1352300000</v>
      </c>
      <c r="B26" s="57" t="s">
        <v>396</v>
      </c>
      <c r="C26" s="58"/>
      <c r="D26" s="60">
        <f>650000+42295+80630+15000+15000+18182.26</f>
        <v>821107.26</v>
      </c>
    </row>
    <row r="27" spans="1:4" ht="1.5" hidden="1" customHeight="1" x14ac:dyDescent="0.2">
      <c r="A27" s="56">
        <v>1353000000</v>
      </c>
      <c r="B27" s="57" t="s">
        <v>476</v>
      </c>
      <c r="C27" s="58"/>
      <c r="D27" s="59">
        <v>100000</v>
      </c>
    </row>
    <row r="28" spans="1:4" ht="28.5" hidden="1" customHeight="1" x14ac:dyDescent="0.2">
      <c r="A28" s="52">
        <v>41057700</v>
      </c>
      <c r="B28" s="53" t="s">
        <v>587</v>
      </c>
      <c r="C28" s="54"/>
      <c r="D28" s="169">
        <f>D29</f>
        <v>78464</v>
      </c>
    </row>
    <row r="29" spans="1:4" ht="30.75" hidden="1" customHeight="1" x14ac:dyDescent="0.2">
      <c r="A29" s="56">
        <v>1310000000</v>
      </c>
      <c r="B29" s="57" t="s">
        <v>393</v>
      </c>
      <c r="C29" s="58"/>
      <c r="D29" s="170">
        <v>78464</v>
      </c>
    </row>
    <row r="30" spans="1:4" ht="30.75" hidden="1" customHeight="1" x14ac:dyDescent="0.2">
      <c r="A30" s="52" t="s">
        <v>498</v>
      </c>
      <c r="B30" s="175" t="s">
        <v>599</v>
      </c>
      <c r="C30" s="54"/>
      <c r="D30" s="55">
        <f>D31</f>
        <v>700000</v>
      </c>
    </row>
    <row r="31" spans="1:4" ht="18.75" hidden="1" customHeight="1" x14ac:dyDescent="0.2">
      <c r="A31" s="56" t="s">
        <v>530</v>
      </c>
      <c r="B31" s="57" t="s">
        <v>393</v>
      </c>
      <c r="C31" s="58"/>
      <c r="D31" s="59">
        <v>700000</v>
      </c>
    </row>
    <row r="32" spans="1:4" ht="15" x14ac:dyDescent="0.25">
      <c r="A32" s="229" t="s">
        <v>397</v>
      </c>
      <c r="B32" s="229"/>
      <c r="C32" s="229"/>
      <c r="D32" s="229"/>
    </row>
    <row r="33" spans="1:4" ht="15.75" hidden="1" customHeight="1" x14ac:dyDescent="0.2">
      <c r="A33" s="52">
        <v>41053400</v>
      </c>
      <c r="B33" s="53" t="s">
        <v>567</v>
      </c>
      <c r="C33" s="54"/>
      <c r="D33" s="55">
        <f>D34</f>
        <v>9456966</v>
      </c>
    </row>
    <row r="34" spans="1:4" hidden="1" x14ac:dyDescent="0.2">
      <c r="A34" s="56">
        <v>1310000000</v>
      </c>
      <c r="B34" s="57" t="s">
        <v>393</v>
      </c>
      <c r="C34" s="58"/>
      <c r="D34" s="163">
        <v>9456966</v>
      </c>
    </row>
    <row r="35" spans="1:4" x14ac:dyDescent="0.2">
      <c r="A35" s="52" t="s">
        <v>382</v>
      </c>
      <c r="B35" s="53" t="s">
        <v>383</v>
      </c>
      <c r="C35" s="54"/>
      <c r="D35" s="55">
        <f>D36</f>
        <v>1698790</v>
      </c>
    </row>
    <row r="36" spans="1:4" x14ac:dyDescent="0.2">
      <c r="A36" s="56">
        <v>1310000000</v>
      </c>
      <c r="B36" s="57" t="s">
        <v>393</v>
      </c>
      <c r="C36" s="58"/>
      <c r="D36" s="163">
        <f>62790+1500000+136000</f>
        <v>1698790</v>
      </c>
    </row>
    <row r="37" spans="1:4" x14ac:dyDescent="0.2">
      <c r="A37" s="61" t="s">
        <v>192</v>
      </c>
      <c r="B37" s="63" t="s">
        <v>398</v>
      </c>
      <c r="C37" s="64"/>
      <c r="D37" s="65">
        <f>D38+D39</f>
        <v>160657174.25999999</v>
      </c>
    </row>
    <row r="38" spans="1:4" x14ac:dyDescent="0.2">
      <c r="A38" s="61" t="s">
        <v>192</v>
      </c>
      <c r="B38" s="63" t="s">
        <v>399</v>
      </c>
      <c r="C38" s="64"/>
      <c r="D38" s="65">
        <f>D14+D16+D20+D18+D22+D24+D28+D30</f>
        <v>149501418.25999999</v>
      </c>
    </row>
    <row r="39" spans="1:4" x14ac:dyDescent="0.2">
      <c r="A39" s="61" t="s">
        <v>192</v>
      </c>
      <c r="B39" s="63" t="s">
        <v>400</v>
      </c>
      <c r="C39" s="64"/>
      <c r="D39" s="65">
        <f>D33+D35</f>
        <v>11155756</v>
      </c>
    </row>
    <row r="41" spans="1:4" ht="21.95" customHeight="1" x14ac:dyDescent="0.25">
      <c r="A41" s="50" t="s">
        <v>401</v>
      </c>
      <c r="D41" s="3" t="s">
        <v>199</v>
      </c>
    </row>
    <row r="42" spans="1:4" ht="63.75" x14ac:dyDescent="0.2">
      <c r="A42" s="51" t="s">
        <v>402</v>
      </c>
      <c r="B42" s="51" t="s">
        <v>403</v>
      </c>
      <c r="C42" s="51" t="s">
        <v>404</v>
      </c>
      <c r="D42" s="51" t="s">
        <v>202</v>
      </c>
    </row>
    <row r="43" spans="1:4" x14ac:dyDescent="0.2">
      <c r="A43" s="51">
        <v>1</v>
      </c>
      <c r="B43" s="51">
        <v>2</v>
      </c>
      <c r="C43" s="51">
        <v>3</v>
      </c>
      <c r="D43" s="51">
        <v>4</v>
      </c>
    </row>
    <row r="44" spans="1:4" ht="15" x14ac:dyDescent="0.25">
      <c r="A44" s="229" t="s">
        <v>405</v>
      </c>
      <c r="B44" s="229"/>
      <c r="C44" s="229"/>
      <c r="D44" s="229"/>
    </row>
    <row r="45" spans="1:4" ht="38.25" hidden="1" x14ac:dyDescent="0.2">
      <c r="A45" s="111" t="s">
        <v>531</v>
      </c>
      <c r="B45" s="111" t="s">
        <v>532</v>
      </c>
      <c r="C45" s="112" t="s">
        <v>533</v>
      </c>
      <c r="D45" s="55">
        <f>D46</f>
        <v>10000000</v>
      </c>
    </row>
    <row r="46" spans="1:4" hidden="1" x14ac:dyDescent="0.2">
      <c r="A46" s="113" t="s">
        <v>530</v>
      </c>
      <c r="B46" s="113" t="s">
        <v>532</v>
      </c>
      <c r="C46" s="114" t="s">
        <v>393</v>
      </c>
      <c r="D46" s="59">
        <v>10000000</v>
      </c>
    </row>
    <row r="47" spans="1:4" ht="18.75" customHeight="1" x14ac:dyDescent="0.2">
      <c r="A47" s="115" t="s">
        <v>510</v>
      </c>
      <c r="B47" s="111" t="s">
        <v>511</v>
      </c>
      <c r="C47" s="112" t="s">
        <v>383</v>
      </c>
      <c r="D47" s="55">
        <f>D48</f>
        <v>240000</v>
      </c>
    </row>
    <row r="48" spans="1:4" ht="19.5" customHeight="1" x14ac:dyDescent="0.2">
      <c r="A48" s="113">
        <v>1310000000</v>
      </c>
      <c r="B48" s="113" t="s">
        <v>511</v>
      </c>
      <c r="C48" s="114" t="s">
        <v>393</v>
      </c>
      <c r="D48" s="59">
        <v>240000</v>
      </c>
    </row>
    <row r="49" spans="1:7" ht="31.5" customHeight="1" x14ac:dyDescent="0.2">
      <c r="A49" s="111" t="s">
        <v>497</v>
      </c>
      <c r="B49" s="111" t="s">
        <v>509</v>
      </c>
      <c r="C49" s="112" t="s">
        <v>499</v>
      </c>
      <c r="D49" s="55">
        <f>D50</f>
        <v>2293000</v>
      </c>
    </row>
    <row r="50" spans="1:7" ht="21.75" customHeight="1" x14ac:dyDescent="0.2">
      <c r="A50" s="113">
        <v>9900000000</v>
      </c>
      <c r="B50" s="113" t="s">
        <v>509</v>
      </c>
      <c r="C50" s="114" t="s">
        <v>391</v>
      </c>
      <c r="D50" s="59">
        <v>2293000</v>
      </c>
    </row>
    <row r="51" spans="1:7" ht="20.100000000000001" customHeight="1" x14ac:dyDescent="0.25">
      <c r="A51" s="233" t="s">
        <v>406</v>
      </c>
      <c r="B51" s="234"/>
      <c r="C51" s="234"/>
      <c r="D51" s="235"/>
    </row>
    <row r="52" spans="1:7" ht="20.100000000000001" hidden="1" customHeight="1" x14ac:dyDescent="0.2">
      <c r="A52" s="52" t="s">
        <v>608</v>
      </c>
      <c r="B52" s="52" t="s">
        <v>609</v>
      </c>
      <c r="C52" s="185" t="s">
        <v>567</v>
      </c>
      <c r="D52" s="186">
        <f>D53</f>
        <v>200000</v>
      </c>
    </row>
    <row r="53" spans="1:7" ht="20.100000000000001" hidden="1" customHeight="1" x14ac:dyDescent="0.2">
      <c r="A53" s="56" t="s">
        <v>530</v>
      </c>
      <c r="B53" s="56" t="s">
        <v>609</v>
      </c>
      <c r="C53" s="4" t="s">
        <v>393</v>
      </c>
      <c r="D53" s="59">
        <v>200000</v>
      </c>
    </row>
    <row r="54" spans="1:7" ht="20.100000000000001" hidden="1" customHeight="1" x14ac:dyDescent="0.2">
      <c r="A54" s="52" t="s">
        <v>510</v>
      </c>
      <c r="B54" s="52" t="s">
        <v>511</v>
      </c>
      <c r="C54" s="185" t="s">
        <v>383</v>
      </c>
      <c r="D54" s="187">
        <f>D55</f>
        <v>1550000</v>
      </c>
    </row>
    <row r="55" spans="1:7" ht="20.100000000000001" hidden="1" customHeight="1" x14ac:dyDescent="0.2">
      <c r="A55" s="56" t="s">
        <v>530</v>
      </c>
      <c r="B55" s="56" t="s">
        <v>511</v>
      </c>
      <c r="C55" s="4" t="s">
        <v>393</v>
      </c>
      <c r="D55" s="184">
        <f>1575000-25000</f>
        <v>1550000</v>
      </c>
    </row>
    <row r="56" spans="1:7" ht="27.75" hidden="1" customHeight="1" x14ac:dyDescent="0.2">
      <c r="A56" s="111" t="s">
        <v>497</v>
      </c>
      <c r="B56" s="111" t="s">
        <v>509</v>
      </c>
      <c r="C56" s="112" t="s">
        <v>499</v>
      </c>
      <c r="D56" s="55">
        <f>D57</f>
        <v>1202000</v>
      </c>
    </row>
    <row r="57" spans="1:7" ht="18" hidden="1" customHeight="1" x14ac:dyDescent="0.2">
      <c r="A57" s="113">
        <v>9900000000</v>
      </c>
      <c r="B57" s="113" t="s">
        <v>509</v>
      </c>
      <c r="C57" s="114" t="s">
        <v>391</v>
      </c>
      <c r="D57" s="59">
        <v>1202000</v>
      </c>
    </row>
    <row r="58" spans="1:7" x14ac:dyDescent="0.2">
      <c r="A58" s="66" t="s">
        <v>192</v>
      </c>
      <c r="B58" s="66" t="s">
        <v>192</v>
      </c>
      <c r="C58" s="67" t="s">
        <v>398</v>
      </c>
      <c r="D58" s="65">
        <f>D59+D60</f>
        <v>15485000</v>
      </c>
    </row>
    <row r="59" spans="1:7" x14ac:dyDescent="0.2">
      <c r="A59" s="66" t="s">
        <v>192</v>
      </c>
      <c r="B59" s="66" t="s">
        <v>192</v>
      </c>
      <c r="C59" s="67" t="s">
        <v>399</v>
      </c>
      <c r="D59" s="65">
        <f>D47+D49+D45</f>
        <v>12533000</v>
      </c>
    </row>
    <row r="60" spans="1:7" x14ac:dyDescent="0.2">
      <c r="A60" s="68" t="s">
        <v>192</v>
      </c>
      <c r="B60" s="68" t="s">
        <v>192</v>
      </c>
      <c r="C60" s="69" t="s">
        <v>400</v>
      </c>
      <c r="D60" s="65">
        <f>D56+D54+D52</f>
        <v>2952000</v>
      </c>
    </row>
    <row r="61" spans="1:7" x14ac:dyDescent="0.2">
      <c r="A61" s="70"/>
      <c r="B61" s="70"/>
      <c r="C61" s="70"/>
      <c r="D61" s="70"/>
    </row>
    <row r="62" spans="1:7" x14ac:dyDescent="0.2">
      <c r="A62" s="70"/>
      <c r="B62" s="70"/>
      <c r="C62" s="70"/>
      <c r="D62" s="70"/>
    </row>
    <row r="64" spans="1:7" ht="18.75" x14ac:dyDescent="0.3">
      <c r="A64" s="212" t="s">
        <v>492</v>
      </c>
      <c r="B64" s="213"/>
      <c r="C64" s="97" t="s">
        <v>491</v>
      </c>
      <c r="D64" s="71"/>
      <c r="E64" s="28"/>
      <c r="G64" s="49"/>
    </row>
  </sheetData>
  <mergeCells count="14">
    <mergeCell ref="A51:D51"/>
    <mergeCell ref="A32:D32"/>
    <mergeCell ref="A5:D5"/>
    <mergeCell ref="C2:D2"/>
    <mergeCell ref="B11:C11"/>
    <mergeCell ref="B12:C12"/>
    <mergeCell ref="A13:D13"/>
    <mergeCell ref="A44:D44"/>
    <mergeCell ref="A64:B64"/>
    <mergeCell ref="C1:D1"/>
    <mergeCell ref="C3:D3"/>
    <mergeCell ref="A6:D6"/>
    <mergeCell ref="A7:D7"/>
    <mergeCell ref="A8:D8"/>
  </mergeCells>
  <phoneticPr fontId="0" type="noConversion"/>
  <pageMargins left="0.48" right="0.42" top="0.39370078740157499" bottom="0.39370078740157499" header="0" footer="0"/>
  <pageSetup paperSize="9" scale="60" fitToHeight="50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tabSelected="1" topLeftCell="D1" zoomScale="90" workbookViewId="0">
      <pane ySplit="12" topLeftCell="A34" activePane="bottomLeft" state="frozen"/>
      <selection pane="bottomLeft" activeCell="H4" sqref="H4"/>
    </sheetView>
  </sheetViews>
  <sheetFormatPr defaultRowHeight="12.75" x14ac:dyDescent="0.2"/>
  <cols>
    <col min="1" max="3" width="12" customWidth="1"/>
    <col min="4" max="6" width="40.7109375" customWidth="1"/>
    <col min="7" max="10" width="15.7109375" customWidth="1"/>
  </cols>
  <sheetData>
    <row r="1" spans="1:10" x14ac:dyDescent="0.2">
      <c r="H1" t="s">
        <v>564</v>
      </c>
    </row>
    <row r="2" spans="1:10" ht="48" customHeight="1" x14ac:dyDescent="0.25">
      <c r="D2" s="1"/>
      <c r="H2" s="198" t="s">
        <v>487</v>
      </c>
      <c r="I2" s="198"/>
      <c r="J2" s="198"/>
    </row>
    <row r="3" spans="1:10" ht="17.25" customHeight="1" x14ac:dyDescent="0.2">
      <c r="H3" t="s">
        <v>637</v>
      </c>
    </row>
    <row r="4" spans="1:10" ht="17.25" customHeight="1" x14ac:dyDescent="0.2"/>
    <row r="5" spans="1:10" ht="15.75" customHeight="1" x14ac:dyDescent="0.25">
      <c r="A5" s="196" t="s">
        <v>484</v>
      </c>
      <c r="B5" s="196"/>
      <c r="C5" s="196"/>
      <c r="D5" s="196"/>
      <c r="E5" s="196"/>
      <c r="F5" s="196"/>
      <c r="G5" s="196"/>
      <c r="H5" s="196"/>
      <c r="I5" s="196"/>
      <c r="J5" s="196"/>
    </row>
    <row r="6" spans="1:10" ht="15.75" x14ac:dyDescent="0.25">
      <c r="A6" s="199" t="s">
        <v>485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0" ht="18" customHeight="1" x14ac:dyDescent="0.2"/>
    <row r="8" spans="1:10" ht="18" customHeight="1" x14ac:dyDescent="0.2">
      <c r="A8" s="2" t="s">
        <v>621</v>
      </c>
    </row>
    <row r="9" spans="1:10" ht="13.5" customHeight="1" x14ac:dyDescent="0.2">
      <c r="A9" t="s">
        <v>622</v>
      </c>
      <c r="J9" s="3" t="s">
        <v>623</v>
      </c>
    </row>
    <row r="10" spans="1:10" x14ac:dyDescent="0.2">
      <c r="A10" s="215" t="s">
        <v>624</v>
      </c>
      <c r="B10" s="215" t="s">
        <v>625</v>
      </c>
      <c r="C10" s="215" t="s">
        <v>626</v>
      </c>
      <c r="D10" s="195" t="s">
        <v>627</v>
      </c>
      <c r="E10" s="195" t="s">
        <v>407</v>
      </c>
      <c r="F10" s="215" t="s">
        <v>408</v>
      </c>
      <c r="G10" s="201" t="s">
        <v>202</v>
      </c>
      <c r="H10" s="195" t="s">
        <v>628</v>
      </c>
      <c r="I10" s="195" t="s">
        <v>629</v>
      </c>
      <c r="J10" s="195"/>
    </row>
    <row r="11" spans="1:10" ht="72.75" customHeight="1" x14ac:dyDescent="0.2">
      <c r="A11" s="195"/>
      <c r="B11" s="195"/>
      <c r="C11" s="195"/>
      <c r="D11" s="195"/>
      <c r="E11" s="195"/>
      <c r="F11" s="195"/>
      <c r="G11" s="201"/>
      <c r="H11" s="195"/>
      <c r="I11" s="4" t="s">
        <v>631</v>
      </c>
      <c r="J11" s="4" t="s">
        <v>635</v>
      </c>
    </row>
    <row r="12" spans="1:10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5">
        <v>7</v>
      </c>
      <c r="H12" s="4">
        <v>8</v>
      </c>
      <c r="I12" s="72">
        <v>9</v>
      </c>
      <c r="J12" s="72">
        <v>10</v>
      </c>
    </row>
    <row r="13" spans="1:10" ht="30.75" customHeight="1" x14ac:dyDescent="0.2">
      <c r="A13" s="7" t="s">
        <v>1</v>
      </c>
      <c r="B13" s="7" t="s">
        <v>2</v>
      </c>
      <c r="C13" s="7" t="s">
        <v>2</v>
      </c>
      <c r="D13" s="8" t="s">
        <v>3</v>
      </c>
      <c r="E13" s="8" t="s">
        <v>2</v>
      </c>
      <c r="F13" s="8" t="s">
        <v>2</v>
      </c>
      <c r="G13" s="32">
        <f>G14</f>
        <v>130851993.26000001</v>
      </c>
      <c r="H13" s="32">
        <f>H14</f>
        <v>89999808.260000005</v>
      </c>
      <c r="I13" s="32">
        <f>I14</f>
        <v>40852185</v>
      </c>
      <c r="J13" s="32">
        <f>J14</f>
        <v>38909686</v>
      </c>
    </row>
    <row r="14" spans="1:10" ht="29.25" customHeight="1" x14ac:dyDescent="0.2">
      <c r="A14" s="73" t="s">
        <v>4</v>
      </c>
      <c r="B14" s="73" t="s">
        <v>2</v>
      </c>
      <c r="C14" s="73" t="s">
        <v>2</v>
      </c>
      <c r="D14" s="74" t="s">
        <v>3</v>
      </c>
      <c r="E14" s="74" t="s">
        <v>2</v>
      </c>
      <c r="F14" s="74" t="s">
        <v>2</v>
      </c>
      <c r="G14" s="32">
        <f t="shared" ref="G14:G63" si="0">H14+I14</f>
        <v>130851993.26000001</v>
      </c>
      <c r="H14" s="40">
        <f>SUM(H15:H63)</f>
        <v>89999808.260000005</v>
      </c>
      <c r="I14" s="40">
        <f>SUM(I15:I63)</f>
        <v>40852185</v>
      </c>
      <c r="J14" s="40">
        <f>SUM(J15:J63)</f>
        <v>38909686</v>
      </c>
    </row>
    <row r="15" spans="1:10" ht="63.75" hidden="1" x14ac:dyDescent="0.2">
      <c r="A15" s="13" t="s">
        <v>9</v>
      </c>
      <c r="B15" s="13" t="s">
        <v>10</v>
      </c>
      <c r="C15" s="13" t="s">
        <v>11</v>
      </c>
      <c r="D15" s="14" t="s">
        <v>12</v>
      </c>
      <c r="E15" s="14" t="s">
        <v>409</v>
      </c>
      <c r="F15" s="14" t="s">
        <v>410</v>
      </c>
      <c r="G15" s="32">
        <f t="shared" si="0"/>
        <v>199139</v>
      </c>
      <c r="H15" s="36">
        <v>199139</v>
      </c>
      <c r="I15" s="36">
        <v>0</v>
      </c>
      <c r="J15" s="36">
        <v>0</v>
      </c>
    </row>
    <row r="16" spans="1:10" ht="60" hidden="1" customHeight="1" x14ac:dyDescent="0.2">
      <c r="A16" s="13" t="s">
        <v>9</v>
      </c>
      <c r="B16" s="13" t="s">
        <v>10</v>
      </c>
      <c r="C16" s="13" t="s">
        <v>11</v>
      </c>
      <c r="D16" s="14" t="s">
        <v>12</v>
      </c>
      <c r="E16" s="75" t="s">
        <v>411</v>
      </c>
      <c r="F16" s="14" t="s">
        <v>412</v>
      </c>
      <c r="G16" s="32">
        <f t="shared" si="0"/>
        <v>743258</v>
      </c>
      <c r="H16" s="36">
        <v>743258</v>
      </c>
      <c r="I16" s="36"/>
      <c r="J16" s="36"/>
    </row>
    <row r="17" spans="1:10" ht="66.75" customHeight="1" x14ac:dyDescent="0.2">
      <c r="A17" s="13" t="s">
        <v>13</v>
      </c>
      <c r="B17" s="13" t="s">
        <v>14</v>
      </c>
      <c r="C17" s="13" t="s">
        <v>15</v>
      </c>
      <c r="D17" s="14" t="s">
        <v>16</v>
      </c>
      <c r="E17" s="14" t="s">
        <v>413</v>
      </c>
      <c r="F17" s="14" t="s">
        <v>414</v>
      </c>
      <c r="G17" s="32">
        <f t="shared" si="0"/>
        <v>19395523.260000002</v>
      </c>
      <c r="H17" s="16">
        <f>17335141+18182.26+190000</f>
        <v>17543323.260000002</v>
      </c>
      <c r="I17" s="36">
        <f>1742200+110000</f>
        <v>1852200</v>
      </c>
      <c r="J17" s="36">
        <f>I17</f>
        <v>1852200</v>
      </c>
    </row>
    <row r="18" spans="1:10" ht="74.25" hidden="1" customHeight="1" x14ac:dyDescent="0.2">
      <c r="A18" s="13" t="s">
        <v>17</v>
      </c>
      <c r="B18" s="13" t="s">
        <v>18</v>
      </c>
      <c r="C18" s="13" t="s">
        <v>19</v>
      </c>
      <c r="D18" s="14" t="s">
        <v>20</v>
      </c>
      <c r="E18" s="14" t="s">
        <v>415</v>
      </c>
      <c r="F18" s="14" t="s">
        <v>416</v>
      </c>
      <c r="G18" s="32">
        <f t="shared" si="0"/>
        <v>3537061</v>
      </c>
      <c r="H18" s="16">
        <f>3517061+20000</f>
        <v>3537061</v>
      </c>
      <c r="I18" s="36">
        <v>0</v>
      </c>
      <c r="J18" s="36">
        <v>0</v>
      </c>
    </row>
    <row r="19" spans="1:10" ht="78.75" customHeight="1" x14ac:dyDescent="0.2">
      <c r="A19" s="13" t="s">
        <v>21</v>
      </c>
      <c r="B19" s="13" t="s">
        <v>22</v>
      </c>
      <c r="C19" s="13" t="s">
        <v>23</v>
      </c>
      <c r="D19" s="14" t="s">
        <v>24</v>
      </c>
      <c r="E19" s="14" t="s">
        <v>417</v>
      </c>
      <c r="F19" s="14" t="s">
        <v>418</v>
      </c>
      <c r="G19" s="32">
        <f t="shared" si="0"/>
        <v>8577300</v>
      </c>
      <c r="H19" s="16">
        <v>8406500</v>
      </c>
      <c r="I19" s="36">
        <f>90000-15200+96000</f>
        <v>170800</v>
      </c>
      <c r="J19" s="36">
        <f>I19</f>
        <v>170800</v>
      </c>
    </row>
    <row r="20" spans="1:10" ht="38.25" hidden="1" x14ac:dyDescent="0.2">
      <c r="A20" s="13" t="s">
        <v>25</v>
      </c>
      <c r="B20" s="13" t="s">
        <v>26</v>
      </c>
      <c r="C20" s="13" t="s">
        <v>27</v>
      </c>
      <c r="D20" s="14" t="s">
        <v>28</v>
      </c>
      <c r="E20" s="14" t="s">
        <v>419</v>
      </c>
      <c r="F20" s="14" t="s">
        <v>420</v>
      </c>
      <c r="G20" s="32">
        <f t="shared" si="0"/>
        <v>423300</v>
      </c>
      <c r="H20" s="16">
        <v>423300</v>
      </c>
      <c r="I20" s="36">
        <v>0</v>
      </c>
      <c r="J20" s="36">
        <v>0</v>
      </c>
    </row>
    <row r="21" spans="1:10" ht="38.25" hidden="1" x14ac:dyDescent="0.2">
      <c r="A21" s="13" t="s">
        <v>29</v>
      </c>
      <c r="B21" s="13" t="s">
        <v>30</v>
      </c>
      <c r="C21" s="13" t="s">
        <v>31</v>
      </c>
      <c r="D21" s="14" t="s">
        <v>32</v>
      </c>
      <c r="E21" s="14" t="s">
        <v>419</v>
      </c>
      <c r="F21" s="14" t="s">
        <v>420</v>
      </c>
      <c r="G21" s="32">
        <f t="shared" si="0"/>
        <v>40000</v>
      </c>
      <c r="H21" s="16">
        <v>40000</v>
      </c>
      <c r="I21" s="36">
        <v>0</v>
      </c>
      <c r="J21" s="36">
        <v>0</v>
      </c>
    </row>
    <row r="22" spans="1:10" ht="38.25" hidden="1" x14ac:dyDescent="0.2">
      <c r="A22" s="13" t="s">
        <v>33</v>
      </c>
      <c r="B22" s="13" t="s">
        <v>34</v>
      </c>
      <c r="C22" s="13" t="s">
        <v>31</v>
      </c>
      <c r="D22" s="14" t="s">
        <v>35</v>
      </c>
      <c r="E22" s="14" t="s">
        <v>419</v>
      </c>
      <c r="F22" s="14" t="s">
        <v>420</v>
      </c>
      <c r="G22" s="32">
        <f t="shared" si="0"/>
        <v>300000</v>
      </c>
      <c r="H22" s="16">
        <v>300000</v>
      </c>
      <c r="I22" s="36">
        <v>0</v>
      </c>
      <c r="J22" s="36">
        <v>0</v>
      </c>
    </row>
    <row r="23" spans="1:10" ht="38.25" hidden="1" x14ac:dyDescent="0.2">
      <c r="A23" s="13" t="s">
        <v>36</v>
      </c>
      <c r="B23" s="13" t="s">
        <v>37</v>
      </c>
      <c r="C23" s="13" t="s">
        <v>31</v>
      </c>
      <c r="D23" s="14" t="s">
        <v>38</v>
      </c>
      <c r="E23" s="14" t="s">
        <v>419</v>
      </c>
      <c r="F23" s="14" t="s">
        <v>420</v>
      </c>
      <c r="G23" s="32">
        <f t="shared" si="0"/>
        <v>100000</v>
      </c>
      <c r="H23" s="16">
        <v>100000</v>
      </c>
      <c r="I23" s="36">
        <v>0</v>
      </c>
      <c r="J23" s="36">
        <v>0</v>
      </c>
    </row>
    <row r="24" spans="1:10" ht="63.75" hidden="1" x14ac:dyDescent="0.2">
      <c r="A24" s="13" t="s">
        <v>39</v>
      </c>
      <c r="B24" s="13" t="s">
        <v>40</v>
      </c>
      <c r="C24" s="13" t="s">
        <v>41</v>
      </c>
      <c r="D24" s="14" t="s">
        <v>42</v>
      </c>
      <c r="E24" s="14" t="s">
        <v>419</v>
      </c>
      <c r="F24" s="14" t="s">
        <v>420</v>
      </c>
      <c r="G24" s="32">
        <f t="shared" si="0"/>
        <v>315000</v>
      </c>
      <c r="H24" s="16">
        <f>165000+150000</f>
        <v>315000</v>
      </c>
      <c r="I24" s="36">
        <v>0</v>
      </c>
      <c r="J24" s="36">
        <v>0</v>
      </c>
    </row>
    <row r="25" spans="1:10" ht="79.5" customHeight="1" x14ac:dyDescent="0.2">
      <c r="A25" s="13" t="s">
        <v>43</v>
      </c>
      <c r="B25" s="13" t="s">
        <v>44</v>
      </c>
      <c r="C25" s="13" t="s">
        <v>45</v>
      </c>
      <c r="D25" s="14" t="s">
        <v>46</v>
      </c>
      <c r="E25" s="14" t="s">
        <v>419</v>
      </c>
      <c r="F25" s="14" t="s">
        <v>420</v>
      </c>
      <c r="G25" s="32">
        <f t="shared" si="0"/>
        <v>2015500</v>
      </c>
      <c r="H25" s="16">
        <f>715500+300000+400000+300000+300000</f>
        <v>2015500</v>
      </c>
      <c r="I25" s="36">
        <v>0</v>
      </c>
      <c r="J25" s="36">
        <v>0</v>
      </c>
    </row>
    <row r="26" spans="1:10" ht="94.5" hidden="1" customHeight="1" x14ac:dyDescent="0.2">
      <c r="A26" s="13" t="s">
        <v>47</v>
      </c>
      <c r="B26" s="13" t="s">
        <v>48</v>
      </c>
      <c r="C26" s="13" t="s">
        <v>49</v>
      </c>
      <c r="D26" s="14" t="s">
        <v>50</v>
      </c>
      <c r="E26" s="14" t="s">
        <v>419</v>
      </c>
      <c r="F26" s="14" t="s">
        <v>420</v>
      </c>
      <c r="G26" s="32">
        <f t="shared" si="0"/>
        <v>183140</v>
      </c>
      <c r="H26" s="16">
        <v>183140</v>
      </c>
      <c r="I26" s="36">
        <v>0</v>
      </c>
      <c r="J26" s="36">
        <v>0</v>
      </c>
    </row>
    <row r="27" spans="1:10" ht="54" hidden="1" customHeight="1" x14ac:dyDescent="0.2">
      <c r="A27" s="13" t="s">
        <v>51</v>
      </c>
      <c r="B27" s="13" t="s">
        <v>52</v>
      </c>
      <c r="C27" s="13" t="s">
        <v>53</v>
      </c>
      <c r="D27" s="14" t="s">
        <v>54</v>
      </c>
      <c r="E27" s="76" t="s">
        <v>421</v>
      </c>
      <c r="F27" s="14" t="s">
        <v>422</v>
      </c>
      <c r="G27" s="32">
        <f t="shared" si="0"/>
        <v>50000</v>
      </c>
      <c r="H27" s="36">
        <v>50000</v>
      </c>
      <c r="I27" s="36">
        <v>0</v>
      </c>
      <c r="J27" s="36">
        <v>0</v>
      </c>
    </row>
    <row r="28" spans="1:10" ht="43.5" hidden="1" customHeight="1" x14ac:dyDescent="0.2">
      <c r="A28" s="13" t="s">
        <v>59</v>
      </c>
      <c r="B28" s="13" t="s">
        <v>60</v>
      </c>
      <c r="C28" s="13" t="s">
        <v>57</v>
      </c>
      <c r="D28" s="14" t="s">
        <v>61</v>
      </c>
      <c r="E28" s="14" t="s">
        <v>419</v>
      </c>
      <c r="F28" s="14" t="s">
        <v>420</v>
      </c>
      <c r="G28" s="32">
        <f t="shared" si="0"/>
        <v>5236913</v>
      </c>
      <c r="H28" s="16">
        <f>2156013+1970900+110000+1000000</f>
        <v>5236913</v>
      </c>
      <c r="I28" s="36">
        <v>0</v>
      </c>
      <c r="J28" s="36">
        <v>0</v>
      </c>
    </row>
    <row r="29" spans="1:10" ht="43.5" hidden="1" customHeight="1" x14ac:dyDescent="0.2">
      <c r="A29" s="98" t="s">
        <v>570</v>
      </c>
      <c r="B29" s="98">
        <v>5045</v>
      </c>
      <c r="C29" s="98" t="s">
        <v>173</v>
      </c>
      <c r="D29" s="25" t="s">
        <v>575</v>
      </c>
      <c r="E29" s="14" t="s">
        <v>428</v>
      </c>
      <c r="F29" s="76" t="s">
        <v>429</v>
      </c>
      <c r="G29" s="32">
        <f t="shared" si="0"/>
        <v>5379076</v>
      </c>
      <c r="H29" s="16"/>
      <c r="I29" s="36">
        <v>5379076</v>
      </c>
      <c r="J29" s="36">
        <f>I29</f>
        <v>5379076</v>
      </c>
    </row>
    <row r="30" spans="1:10" ht="49.5" hidden="1" customHeight="1" x14ac:dyDescent="0.2">
      <c r="A30" s="13" t="s">
        <v>62</v>
      </c>
      <c r="B30" s="13" t="s">
        <v>63</v>
      </c>
      <c r="C30" s="13" t="s">
        <v>64</v>
      </c>
      <c r="D30" s="14" t="s">
        <v>65</v>
      </c>
      <c r="E30" s="14" t="s">
        <v>423</v>
      </c>
      <c r="F30" s="14" t="s">
        <v>424</v>
      </c>
      <c r="G30" s="32">
        <f t="shared" si="0"/>
        <v>200000</v>
      </c>
      <c r="H30" s="36"/>
      <c r="I30" s="36">
        <v>200000</v>
      </c>
      <c r="J30" s="36">
        <f>I30</f>
        <v>200000</v>
      </c>
    </row>
    <row r="31" spans="1:10" ht="54.75" hidden="1" customHeight="1" x14ac:dyDescent="0.2">
      <c r="A31" s="13" t="s">
        <v>62</v>
      </c>
      <c r="B31" s="13" t="s">
        <v>63</v>
      </c>
      <c r="C31" s="13" t="s">
        <v>64</v>
      </c>
      <c r="D31" s="14" t="s">
        <v>65</v>
      </c>
      <c r="E31" s="77" t="s">
        <v>614</v>
      </c>
      <c r="F31" s="14" t="s">
        <v>437</v>
      </c>
      <c r="G31" s="32">
        <f t="shared" si="0"/>
        <v>44000</v>
      </c>
      <c r="H31" s="36">
        <v>44000</v>
      </c>
      <c r="I31" s="36"/>
      <c r="J31" s="36"/>
    </row>
    <row r="32" spans="1:10" ht="60" hidden="1" customHeight="1" x14ac:dyDescent="0.2">
      <c r="A32" s="13" t="s">
        <v>66</v>
      </c>
      <c r="B32" s="13" t="s">
        <v>67</v>
      </c>
      <c r="C32" s="13" t="s">
        <v>68</v>
      </c>
      <c r="D32" s="14" t="s">
        <v>69</v>
      </c>
      <c r="E32" s="14" t="s">
        <v>425</v>
      </c>
      <c r="F32" s="14" t="s">
        <v>424</v>
      </c>
      <c r="G32" s="32">
        <f t="shared" si="0"/>
        <v>773722</v>
      </c>
      <c r="H32" s="36"/>
      <c r="I32" s="36">
        <f>657653+116069</f>
        <v>773722</v>
      </c>
      <c r="J32" s="36">
        <f>I32</f>
        <v>773722</v>
      </c>
    </row>
    <row r="33" spans="1:10" ht="52.5" customHeight="1" x14ac:dyDescent="0.2">
      <c r="A33" s="13" t="s">
        <v>70</v>
      </c>
      <c r="B33" s="13" t="s">
        <v>71</v>
      </c>
      <c r="C33" s="13" t="s">
        <v>68</v>
      </c>
      <c r="D33" s="14" t="s">
        <v>72</v>
      </c>
      <c r="E33" s="14" t="s">
        <v>425</v>
      </c>
      <c r="F33" s="14" t="s">
        <v>424</v>
      </c>
      <c r="G33" s="32">
        <f t="shared" si="0"/>
        <v>22556939</v>
      </c>
      <c r="H33" s="36">
        <v>18115889</v>
      </c>
      <c r="I33" s="36">
        <v>4441050</v>
      </c>
      <c r="J33" s="36">
        <f>I33</f>
        <v>4441050</v>
      </c>
    </row>
    <row r="34" spans="1:10" ht="45.75" customHeight="1" x14ac:dyDescent="0.2">
      <c r="A34" s="18" t="s">
        <v>73</v>
      </c>
      <c r="B34" s="18" t="s">
        <v>74</v>
      </c>
      <c r="C34" s="19" t="s">
        <v>75</v>
      </c>
      <c r="D34" s="19" t="s">
        <v>76</v>
      </c>
      <c r="E34" s="77" t="s">
        <v>426</v>
      </c>
      <c r="F34" s="14" t="s">
        <v>427</v>
      </c>
      <c r="G34" s="32">
        <f t="shared" si="0"/>
        <v>2036500</v>
      </c>
      <c r="H34" s="36">
        <v>844000</v>
      </c>
      <c r="I34" s="36">
        <f>310000+1071500-288000+99000</f>
        <v>1192500</v>
      </c>
      <c r="J34" s="36"/>
    </row>
    <row r="35" spans="1:10" ht="45.75" hidden="1" customHeight="1" x14ac:dyDescent="0.2">
      <c r="A35" s="13" t="s">
        <v>77</v>
      </c>
      <c r="B35" s="13" t="s">
        <v>78</v>
      </c>
      <c r="C35" s="13" t="s">
        <v>79</v>
      </c>
      <c r="D35" s="14" t="s">
        <v>80</v>
      </c>
      <c r="E35" s="14" t="s">
        <v>428</v>
      </c>
      <c r="F35" s="76" t="s">
        <v>429</v>
      </c>
      <c r="G35" s="32">
        <f t="shared" si="0"/>
        <v>7267664</v>
      </c>
      <c r="H35" s="36">
        <v>0</v>
      </c>
      <c r="I35" s="36">
        <v>7267664</v>
      </c>
      <c r="J35" s="36">
        <f>I35</f>
        <v>7267664</v>
      </c>
    </row>
    <row r="36" spans="1:10" ht="50.25" customHeight="1" x14ac:dyDescent="0.2">
      <c r="A36" s="104" t="s">
        <v>503</v>
      </c>
      <c r="B36" s="107">
        <v>7330</v>
      </c>
      <c r="C36" s="108" t="s">
        <v>79</v>
      </c>
      <c r="D36" s="25" t="s">
        <v>504</v>
      </c>
      <c r="E36" s="14" t="s">
        <v>428</v>
      </c>
      <c r="F36" s="76" t="s">
        <v>429</v>
      </c>
      <c r="G36" s="32">
        <f t="shared" si="0"/>
        <v>771700</v>
      </c>
      <c r="H36" s="36"/>
      <c r="I36" s="36">
        <v>771700</v>
      </c>
      <c r="J36" s="36">
        <f>I36</f>
        <v>771700</v>
      </c>
    </row>
    <row r="37" spans="1:10" ht="42" customHeight="1" x14ac:dyDescent="0.2">
      <c r="A37" s="13" t="s">
        <v>81</v>
      </c>
      <c r="B37" s="13" t="s">
        <v>82</v>
      </c>
      <c r="C37" s="13" t="s">
        <v>79</v>
      </c>
      <c r="D37" s="14" t="s">
        <v>83</v>
      </c>
      <c r="E37" s="77" t="s">
        <v>431</v>
      </c>
      <c r="F37" s="14" t="s">
        <v>427</v>
      </c>
      <c r="G37" s="32">
        <f t="shared" si="0"/>
        <v>711500</v>
      </c>
      <c r="H37" s="36">
        <v>0</v>
      </c>
      <c r="I37" s="36">
        <f>250000+237500-28000+202000+50000</f>
        <v>711500</v>
      </c>
      <c r="J37" s="36">
        <f>I37</f>
        <v>711500</v>
      </c>
    </row>
    <row r="38" spans="1:10" ht="63" hidden="1" customHeight="1" x14ac:dyDescent="0.2">
      <c r="A38" s="13" t="s">
        <v>84</v>
      </c>
      <c r="B38" s="13" t="s">
        <v>85</v>
      </c>
      <c r="C38" s="13" t="s">
        <v>86</v>
      </c>
      <c r="D38" s="14" t="s">
        <v>87</v>
      </c>
      <c r="E38" s="14" t="s">
        <v>432</v>
      </c>
      <c r="F38" s="76" t="s">
        <v>433</v>
      </c>
      <c r="G38" s="32">
        <f t="shared" si="0"/>
        <v>14849000</v>
      </c>
      <c r="H38" s="36">
        <v>13399000</v>
      </c>
      <c r="I38" s="36">
        <v>1450000</v>
      </c>
      <c r="J38" s="36">
        <f>I38</f>
        <v>1450000</v>
      </c>
    </row>
    <row r="39" spans="1:10" ht="68.25" hidden="1" customHeight="1" x14ac:dyDescent="0.2">
      <c r="A39" s="13" t="s">
        <v>84</v>
      </c>
      <c r="B39" s="13" t="s">
        <v>85</v>
      </c>
      <c r="C39" s="13" t="s">
        <v>86</v>
      </c>
      <c r="D39" s="14" t="s">
        <v>87</v>
      </c>
      <c r="E39" s="122" t="s">
        <v>537</v>
      </c>
      <c r="F39" s="14" t="s">
        <v>536</v>
      </c>
      <c r="G39" s="32">
        <f t="shared" si="0"/>
        <v>300000</v>
      </c>
      <c r="H39" s="36"/>
      <c r="I39" s="36">
        <v>300000</v>
      </c>
      <c r="J39" s="36">
        <f>I39</f>
        <v>300000</v>
      </c>
    </row>
    <row r="40" spans="1:10" ht="28.5" hidden="1" customHeight="1" x14ac:dyDescent="0.2">
      <c r="A40" s="13" t="s">
        <v>88</v>
      </c>
      <c r="B40" s="13" t="s">
        <v>89</v>
      </c>
      <c r="C40" s="13" t="s">
        <v>90</v>
      </c>
      <c r="D40" s="14" t="s">
        <v>91</v>
      </c>
      <c r="E40" s="77" t="s">
        <v>434</v>
      </c>
      <c r="F40" s="14" t="s">
        <v>435</v>
      </c>
      <c r="G40" s="32">
        <f t="shared" si="0"/>
        <v>161500</v>
      </c>
      <c r="H40" s="36">
        <f>40000+121500</f>
        <v>161500</v>
      </c>
      <c r="I40" s="36">
        <v>0</v>
      </c>
      <c r="J40" s="36">
        <v>0</v>
      </c>
    </row>
    <row r="41" spans="1:10" ht="34.5" hidden="1" customHeight="1" x14ac:dyDescent="0.2">
      <c r="A41" s="13" t="s">
        <v>92</v>
      </c>
      <c r="B41" s="13" t="s">
        <v>93</v>
      </c>
      <c r="C41" s="13" t="s">
        <v>94</v>
      </c>
      <c r="D41" s="14" t="s">
        <v>95</v>
      </c>
      <c r="E41" s="77" t="s">
        <v>431</v>
      </c>
      <c r="F41" s="14" t="s">
        <v>427</v>
      </c>
      <c r="G41" s="32">
        <f t="shared" si="0"/>
        <v>50000</v>
      </c>
      <c r="H41" s="36">
        <v>0</v>
      </c>
      <c r="I41" s="36">
        <v>50000</v>
      </c>
      <c r="J41" s="36">
        <v>50000</v>
      </c>
    </row>
    <row r="42" spans="1:10" ht="42" hidden="1" customHeight="1" x14ac:dyDescent="0.2">
      <c r="A42" s="99" t="s">
        <v>500</v>
      </c>
      <c r="B42" s="99" t="s">
        <v>501</v>
      </c>
      <c r="C42" s="99" t="s">
        <v>94</v>
      </c>
      <c r="D42" s="106" t="s">
        <v>502</v>
      </c>
      <c r="E42" s="77" t="s">
        <v>520</v>
      </c>
      <c r="F42" s="13" t="s">
        <v>521</v>
      </c>
      <c r="G42" s="32">
        <f t="shared" si="0"/>
        <v>6580000</v>
      </c>
      <c r="H42" s="36"/>
      <c r="I42" s="36">
        <f>5200000+290000+50000+200000+580000+260000</f>
        <v>6580000</v>
      </c>
      <c r="J42" s="36">
        <f>I42</f>
        <v>6580000</v>
      </c>
    </row>
    <row r="43" spans="1:10" ht="117" hidden="1" customHeight="1" x14ac:dyDescent="0.2">
      <c r="A43" s="98" t="s">
        <v>572</v>
      </c>
      <c r="B43" s="41">
        <v>7691</v>
      </c>
      <c r="C43" s="99" t="s">
        <v>94</v>
      </c>
      <c r="D43" s="25" t="s">
        <v>573</v>
      </c>
      <c r="E43" s="14" t="s">
        <v>428</v>
      </c>
      <c r="F43" s="76" t="s">
        <v>429</v>
      </c>
      <c r="G43" s="32">
        <f t="shared" si="0"/>
        <v>319999</v>
      </c>
      <c r="H43" s="36"/>
      <c r="I43" s="36">
        <v>319999</v>
      </c>
      <c r="J43" s="36"/>
    </row>
    <row r="44" spans="1:10" ht="70.5" hidden="1" customHeight="1" x14ac:dyDescent="0.2">
      <c r="A44" s="13" t="s">
        <v>99</v>
      </c>
      <c r="B44" s="77" t="s">
        <v>100</v>
      </c>
      <c r="C44" s="13" t="s">
        <v>94</v>
      </c>
      <c r="D44" s="14" t="s">
        <v>101</v>
      </c>
      <c r="E44" s="13" t="s">
        <v>255</v>
      </c>
      <c r="F44" s="14" t="s">
        <v>436</v>
      </c>
      <c r="G44" s="32">
        <f t="shared" si="0"/>
        <v>205999</v>
      </c>
      <c r="H44" s="16">
        <f>175999+30000</f>
        <v>205999</v>
      </c>
      <c r="I44" s="36">
        <v>0</v>
      </c>
      <c r="J44" s="36">
        <v>0</v>
      </c>
    </row>
    <row r="45" spans="1:10" ht="46.5" hidden="1" customHeight="1" x14ac:dyDescent="0.2">
      <c r="A45" s="13" t="s">
        <v>99</v>
      </c>
      <c r="B45" s="77" t="s">
        <v>100</v>
      </c>
      <c r="C45" s="13" t="s">
        <v>94</v>
      </c>
      <c r="D45" s="14" t="s">
        <v>101</v>
      </c>
      <c r="E45" s="176" t="s">
        <v>594</v>
      </c>
      <c r="F45" s="13" t="s">
        <v>595</v>
      </c>
      <c r="G45" s="32">
        <f t="shared" si="0"/>
        <v>250000</v>
      </c>
      <c r="H45" s="16">
        <v>250000</v>
      </c>
      <c r="I45" s="36"/>
      <c r="J45" s="36"/>
    </row>
    <row r="46" spans="1:10" ht="80.25" customHeight="1" x14ac:dyDescent="0.2">
      <c r="A46" s="18" t="s">
        <v>102</v>
      </c>
      <c r="B46" s="18" t="s">
        <v>103</v>
      </c>
      <c r="C46" s="19" t="s">
        <v>104</v>
      </c>
      <c r="D46" s="20" t="s">
        <v>105</v>
      </c>
      <c r="E46" s="13" t="s">
        <v>613</v>
      </c>
      <c r="F46" s="14" t="s">
        <v>527</v>
      </c>
      <c r="G46" s="32">
        <f t="shared" si="0"/>
        <v>893260</v>
      </c>
      <c r="H46" s="16">
        <f>378276+201010</f>
        <v>579286</v>
      </c>
      <c r="I46" s="36">
        <f>156984+136000+20990</f>
        <v>313974</v>
      </c>
      <c r="J46" s="36">
        <f>I46</f>
        <v>313974</v>
      </c>
    </row>
    <row r="47" spans="1:10" ht="39.75" hidden="1" customHeight="1" x14ac:dyDescent="0.2">
      <c r="A47" s="18" t="s">
        <v>102</v>
      </c>
      <c r="B47" s="18" t="s">
        <v>103</v>
      </c>
      <c r="C47" s="19" t="s">
        <v>104</v>
      </c>
      <c r="D47" s="20" t="s">
        <v>105</v>
      </c>
      <c r="E47" s="77" t="s">
        <v>614</v>
      </c>
      <c r="F47" s="14" t="s">
        <v>437</v>
      </c>
      <c r="G47" s="32">
        <f t="shared" si="0"/>
        <v>200000</v>
      </c>
      <c r="H47" s="16">
        <v>200000</v>
      </c>
      <c r="I47" s="36"/>
      <c r="J47" s="36"/>
    </row>
    <row r="48" spans="1:10" ht="42.75" customHeight="1" x14ac:dyDescent="0.2">
      <c r="A48" s="98" t="s">
        <v>493</v>
      </c>
      <c r="B48" s="41">
        <v>8240</v>
      </c>
      <c r="C48" s="98" t="s">
        <v>494</v>
      </c>
      <c r="D48" s="99" t="s">
        <v>495</v>
      </c>
      <c r="E48" s="77" t="s">
        <v>516</v>
      </c>
      <c r="F48" s="14" t="s">
        <v>528</v>
      </c>
      <c r="G48" s="32">
        <f t="shared" si="0"/>
        <v>11000000</v>
      </c>
      <c r="H48" s="16">
        <f>1854000+1500000+400000</f>
        <v>3754000</v>
      </c>
      <c r="I48" s="36">
        <f>4146000+1500000+600000+1000000</f>
        <v>7246000</v>
      </c>
      <c r="J48" s="36">
        <f>I48</f>
        <v>7246000</v>
      </c>
    </row>
    <row r="49" spans="1:10" ht="25.5" hidden="1" customHeight="1" x14ac:dyDescent="0.2">
      <c r="A49" s="98" t="s">
        <v>479</v>
      </c>
      <c r="B49" s="41">
        <v>8311</v>
      </c>
      <c r="C49" s="98" t="s">
        <v>480</v>
      </c>
      <c r="D49" s="25" t="s">
        <v>481</v>
      </c>
      <c r="E49" s="77" t="s">
        <v>431</v>
      </c>
      <c r="F49" s="14" t="s">
        <v>427</v>
      </c>
      <c r="G49" s="32">
        <f t="shared" si="0"/>
        <v>400000</v>
      </c>
      <c r="H49" s="16">
        <v>400000</v>
      </c>
      <c r="I49" s="36"/>
      <c r="J49" s="36"/>
    </row>
    <row r="50" spans="1:10" ht="32.25" hidden="1" customHeight="1" x14ac:dyDescent="0.2">
      <c r="A50" s="18" t="s">
        <v>106</v>
      </c>
      <c r="B50" s="18" t="s">
        <v>107</v>
      </c>
      <c r="C50" s="19" t="s">
        <v>108</v>
      </c>
      <c r="D50" s="20" t="s">
        <v>109</v>
      </c>
      <c r="E50" s="77" t="s">
        <v>431</v>
      </c>
      <c r="F50" s="14" t="s">
        <v>427</v>
      </c>
      <c r="G50" s="32">
        <f t="shared" si="0"/>
        <v>210000</v>
      </c>
      <c r="H50" s="16">
        <v>210000</v>
      </c>
      <c r="I50" s="36"/>
      <c r="J50" s="36"/>
    </row>
    <row r="51" spans="1:10" ht="33" hidden="1" customHeight="1" x14ac:dyDescent="0.2">
      <c r="A51" s="18" t="s">
        <v>106</v>
      </c>
      <c r="B51" s="18" t="s">
        <v>107</v>
      </c>
      <c r="C51" s="19" t="s">
        <v>108</v>
      </c>
      <c r="D51" s="20" t="s">
        <v>109</v>
      </c>
      <c r="E51" s="14" t="s">
        <v>438</v>
      </c>
      <c r="F51" s="14" t="s">
        <v>439</v>
      </c>
      <c r="G51" s="32">
        <f t="shared" si="0"/>
        <v>210000</v>
      </c>
      <c r="H51" s="16">
        <f>60000+150000</f>
        <v>210000</v>
      </c>
      <c r="I51" s="36"/>
      <c r="J51" s="36"/>
    </row>
    <row r="52" spans="1:10" ht="14.25" hidden="1" customHeight="1" x14ac:dyDescent="0.2">
      <c r="A52" s="13" t="s">
        <v>110</v>
      </c>
      <c r="B52" s="13" t="s">
        <v>111</v>
      </c>
      <c r="C52" s="13" t="s">
        <v>108</v>
      </c>
      <c r="D52" s="14" t="s">
        <v>112</v>
      </c>
      <c r="E52" s="14" t="s">
        <v>438</v>
      </c>
      <c r="F52" s="14" t="s">
        <v>439</v>
      </c>
      <c r="G52" s="32">
        <f t="shared" si="0"/>
        <v>430000</v>
      </c>
      <c r="H52" s="36"/>
      <c r="I52" s="36">
        <v>430000</v>
      </c>
      <c r="J52" s="36"/>
    </row>
    <row r="53" spans="1:10" ht="21.75" hidden="1" customHeight="1" x14ac:dyDescent="0.2">
      <c r="A53" s="98" t="s">
        <v>608</v>
      </c>
      <c r="B53" s="41">
        <v>9720</v>
      </c>
      <c r="C53" s="104" t="s">
        <v>10</v>
      </c>
      <c r="D53" s="188" t="s">
        <v>567</v>
      </c>
      <c r="E53" s="13" t="s">
        <v>566</v>
      </c>
      <c r="F53" s="14" t="s">
        <v>565</v>
      </c>
      <c r="G53" s="32">
        <f t="shared" si="0"/>
        <v>200000</v>
      </c>
      <c r="H53" s="36"/>
      <c r="I53" s="36">
        <v>200000</v>
      </c>
      <c r="J53" s="36">
        <f>I53</f>
        <v>200000</v>
      </c>
    </row>
    <row r="54" spans="1:10" ht="28.5" hidden="1" customHeight="1" x14ac:dyDescent="0.2">
      <c r="A54" s="98" t="s">
        <v>531</v>
      </c>
      <c r="B54" s="41">
        <v>9730</v>
      </c>
      <c r="C54" s="104" t="s">
        <v>10</v>
      </c>
      <c r="D54" s="25" t="s">
        <v>533</v>
      </c>
      <c r="E54" s="121" t="s">
        <v>535</v>
      </c>
      <c r="F54" s="14" t="s">
        <v>536</v>
      </c>
      <c r="G54" s="32">
        <f t="shared" si="0"/>
        <v>10000000</v>
      </c>
      <c r="H54" s="36">
        <v>10000000</v>
      </c>
      <c r="I54" s="36"/>
      <c r="J54" s="36"/>
    </row>
    <row r="55" spans="1:10" ht="35.25" customHeight="1" x14ac:dyDescent="0.2">
      <c r="A55" s="102" t="s">
        <v>496</v>
      </c>
      <c r="B55" s="103">
        <v>9770</v>
      </c>
      <c r="C55" s="104" t="s">
        <v>10</v>
      </c>
      <c r="D55" s="100" t="s">
        <v>383</v>
      </c>
      <c r="E55" s="118" t="s">
        <v>515</v>
      </c>
      <c r="F55" s="13" t="s">
        <v>514</v>
      </c>
      <c r="G55" s="32">
        <f t="shared" si="0"/>
        <v>240000</v>
      </c>
      <c r="H55" s="36">
        <v>240000</v>
      </c>
      <c r="I55" s="36"/>
      <c r="J55" s="36"/>
    </row>
    <row r="56" spans="1:10" ht="58.5" hidden="1" customHeight="1" x14ac:dyDescent="0.2">
      <c r="A56" s="102" t="s">
        <v>497</v>
      </c>
      <c r="B56" s="103">
        <v>9800</v>
      </c>
      <c r="C56" s="105" t="s">
        <v>10</v>
      </c>
      <c r="D56" s="101" t="s">
        <v>499</v>
      </c>
      <c r="E56" s="13" t="s">
        <v>522</v>
      </c>
      <c r="F56" s="14" t="s">
        <v>523</v>
      </c>
      <c r="G56" s="32">
        <f t="shared" si="0"/>
        <v>100000</v>
      </c>
      <c r="H56" s="36">
        <v>44000</v>
      </c>
      <c r="I56" s="36">
        <v>56000</v>
      </c>
      <c r="J56" s="36">
        <f>I56</f>
        <v>56000</v>
      </c>
    </row>
    <row r="57" spans="1:10" ht="67.5" hidden="1" customHeight="1" x14ac:dyDescent="0.2">
      <c r="A57" s="102" t="s">
        <v>497</v>
      </c>
      <c r="B57" s="103">
        <v>9800</v>
      </c>
      <c r="C57" s="105" t="s">
        <v>10</v>
      </c>
      <c r="D57" s="101" t="s">
        <v>499</v>
      </c>
      <c r="E57" s="13" t="s">
        <v>517</v>
      </c>
      <c r="F57" s="14" t="s">
        <v>524</v>
      </c>
      <c r="G57" s="32">
        <f t="shared" si="0"/>
        <v>300000</v>
      </c>
      <c r="H57" s="36"/>
      <c r="I57" s="36">
        <v>300000</v>
      </c>
      <c r="J57" s="36">
        <f>I57</f>
        <v>300000</v>
      </c>
    </row>
    <row r="58" spans="1:10" ht="94.5" customHeight="1" x14ac:dyDescent="0.2">
      <c r="A58" s="102" t="s">
        <v>497</v>
      </c>
      <c r="B58" s="103">
        <v>9800</v>
      </c>
      <c r="C58" s="105" t="s">
        <v>10</v>
      </c>
      <c r="D58" s="101" t="s">
        <v>499</v>
      </c>
      <c r="E58" s="13" t="s">
        <v>519</v>
      </c>
      <c r="F58" s="14" t="s">
        <v>526</v>
      </c>
      <c r="G58" s="32">
        <f t="shared" si="0"/>
        <v>500000</v>
      </c>
      <c r="H58" s="36">
        <f>200000+200000+100000</f>
        <v>500000</v>
      </c>
      <c r="I58" s="36"/>
      <c r="J58" s="36"/>
    </row>
    <row r="59" spans="1:10" ht="27.75" hidden="1" customHeight="1" x14ac:dyDescent="0.2">
      <c r="A59" s="102" t="s">
        <v>497</v>
      </c>
      <c r="B59" s="103">
        <v>9800</v>
      </c>
      <c r="C59" s="105" t="s">
        <v>10</v>
      </c>
      <c r="D59" s="101" t="s">
        <v>499</v>
      </c>
      <c r="E59" s="13" t="s">
        <v>518</v>
      </c>
      <c r="F59" s="14" t="s">
        <v>525</v>
      </c>
      <c r="G59" s="32">
        <f t="shared" si="0"/>
        <v>925000</v>
      </c>
      <c r="H59" s="36">
        <v>79000</v>
      </c>
      <c r="I59" s="36">
        <v>846000</v>
      </c>
      <c r="J59" s="36">
        <f>I59</f>
        <v>846000</v>
      </c>
    </row>
    <row r="60" spans="1:10" ht="27.75" hidden="1" customHeight="1" x14ac:dyDescent="0.2">
      <c r="A60" s="102" t="s">
        <v>497</v>
      </c>
      <c r="B60" s="103">
        <v>9800</v>
      </c>
      <c r="C60" s="105" t="s">
        <v>10</v>
      </c>
      <c r="D60" s="101" t="s">
        <v>499</v>
      </c>
      <c r="E60" s="13" t="s">
        <v>451</v>
      </c>
      <c r="F60" s="14" t="s">
        <v>603</v>
      </c>
      <c r="G60" s="32">
        <f t="shared" si="0"/>
        <v>300000</v>
      </c>
      <c r="H60" s="36">
        <v>300000</v>
      </c>
      <c r="I60" s="36"/>
      <c r="J60" s="36"/>
    </row>
    <row r="61" spans="1:10" ht="27.75" hidden="1" customHeight="1" x14ac:dyDescent="0.2">
      <c r="A61" s="102" t="s">
        <v>497</v>
      </c>
      <c r="B61" s="103">
        <v>9800</v>
      </c>
      <c r="C61" s="105" t="s">
        <v>10</v>
      </c>
      <c r="D61" s="101" t="s">
        <v>499</v>
      </c>
      <c r="E61" s="191" t="s">
        <v>450</v>
      </c>
      <c r="F61" s="14" t="s">
        <v>602</v>
      </c>
      <c r="G61" s="32">
        <f t="shared" si="0"/>
        <v>50000</v>
      </c>
      <c r="H61" s="36">
        <v>50000</v>
      </c>
      <c r="I61" s="36"/>
      <c r="J61" s="36"/>
    </row>
    <row r="62" spans="1:10" ht="24" hidden="1" customHeight="1" x14ac:dyDescent="0.2">
      <c r="A62" s="102" t="s">
        <v>497</v>
      </c>
      <c r="B62" s="103">
        <v>9800</v>
      </c>
      <c r="C62" s="105" t="s">
        <v>10</v>
      </c>
      <c r="D62" s="101" t="s">
        <v>499</v>
      </c>
      <c r="E62" s="13" t="s">
        <v>452</v>
      </c>
      <c r="F62" s="14" t="s">
        <v>453</v>
      </c>
      <c r="G62" s="32">
        <f t="shared" si="0"/>
        <v>1200000</v>
      </c>
      <c r="H62" s="36">
        <v>1200000</v>
      </c>
      <c r="I62" s="36"/>
      <c r="J62" s="36"/>
    </row>
    <row r="63" spans="1:10" ht="31.5" hidden="1" customHeight="1" x14ac:dyDescent="0.2">
      <c r="A63" s="102" t="s">
        <v>497</v>
      </c>
      <c r="B63" s="103">
        <v>9800</v>
      </c>
      <c r="C63" s="105" t="s">
        <v>10</v>
      </c>
      <c r="D63" s="101" t="s">
        <v>499</v>
      </c>
      <c r="E63" s="122" t="s">
        <v>617</v>
      </c>
      <c r="F63" s="14" t="s">
        <v>586</v>
      </c>
      <c r="G63" s="32">
        <f t="shared" si="0"/>
        <v>120000</v>
      </c>
      <c r="H63" s="36">
        <v>120000</v>
      </c>
      <c r="I63" s="36"/>
      <c r="J63" s="36"/>
    </row>
    <row r="64" spans="1:10" ht="33" customHeight="1" x14ac:dyDescent="0.2">
      <c r="A64" s="7" t="s">
        <v>113</v>
      </c>
      <c r="B64" s="7" t="s">
        <v>2</v>
      </c>
      <c r="C64" s="7" t="s">
        <v>2</v>
      </c>
      <c r="D64" s="8" t="s">
        <v>114</v>
      </c>
      <c r="E64" s="8" t="s">
        <v>2</v>
      </c>
      <c r="F64" s="8" t="s">
        <v>2</v>
      </c>
      <c r="G64" s="32">
        <f>G65</f>
        <v>32956596.98</v>
      </c>
      <c r="H64" s="32">
        <f>H65</f>
        <v>3199257</v>
      </c>
      <c r="I64" s="32">
        <f>I65</f>
        <v>29757339.98</v>
      </c>
      <c r="J64" s="32">
        <f>J65</f>
        <v>29757339.98</v>
      </c>
    </row>
    <row r="65" spans="1:10" ht="29.25" customHeight="1" x14ac:dyDescent="0.2">
      <c r="A65" s="73" t="s">
        <v>115</v>
      </c>
      <c r="B65" s="73" t="s">
        <v>2</v>
      </c>
      <c r="C65" s="73" t="s">
        <v>2</v>
      </c>
      <c r="D65" s="74" t="s">
        <v>114</v>
      </c>
      <c r="E65" s="74" t="s">
        <v>2</v>
      </c>
      <c r="F65" s="74" t="s">
        <v>2</v>
      </c>
      <c r="G65" s="32">
        <f>H65+I65</f>
        <v>32956596.98</v>
      </c>
      <c r="H65" s="40">
        <f>SUM(H66:H82)</f>
        <v>3199257</v>
      </c>
      <c r="I65" s="40">
        <f>SUM(I66:I82)</f>
        <v>29757339.98</v>
      </c>
      <c r="J65" s="40">
        <f>SUM(J66:J82)</f>
        <v>29757339.98</v>
      </c>
    </row>
    <row r="66" spans="1:10" ht="42" hidden="1" customHeight="1" x14ac:dyDescent="0.2">
      <c r="A66" s="13" t="s">
        <v>119</v>
      </c>
      <c r="B66" s="13" t="s">
        <v>45</v>
      </c>
      <c r="C66" s="13" t="s">
        <v>120</v>
      </c>
      <c r="D66" s="14" t="s">
        <v>121</v>
      </c>
      <c r="E66" s="14" t="s">
        <v>428</v>
      </c>
      <c r="F66" s="76" t="s">
        <v>429</v>
      </c>
      <c r="G66" s="32">
        <f t="shared" ref="G66:G82" si="1">H66+I66</f>
        <v>1029534</v>
      </c>
      <c r="H66" s="40"/>
      <c r="I66" s="117">
        <f>600000+79534+300000+50000</f>
        <v>1029534</v>
      </c>
      <c r="J66" s="117">
        <f>I66</f>
        <v>1029534</v>
      </c>
    </row>
    <row r="67" spans="1:10" ht="48.75" hidden="1" customHeight="1" x14ac:dyDescent="0.2">
      <c r="A67" s="13" t="s">
        <v>122</v>
      </c>
      <c r="B67" s="13" t="s">
        <v>123</v>
      </c>
      <c r="C67" s="13" t="s">
        <v>124</v>
      </c>
      <c r="D67" s="14" t="s">
        <v>196</v>
      </c>
      <c r="E67" s="14" t="s">
        <v>428</v>
      </c>
      <c r="F67" s="76" t="s">
        <v>429</v>
      </c>
      <c r="G67" s="32">
        <f t="shared" si="1"/>
        <v>6172133.7699999996</v>
      </c>
      <c r="H67" s="40"/>
      <c r="I67" s="117">
        <f>2197855.77+950000+1220466+850000+300000+653812</f>
        <v>6172133.7699999996</v>
      </c>
      <c r="J67" s="117">
        <f>I67</f>
        <v>6172133.7699999996</v>
      </c>
    </row>
    <row r="68" spans="1:10" ht="67.5" hidden="1" customHeight="1" x14ac:dyDescent="0.2">
      <c r="A68" s="98" t="s">
        <v>600</v>
      </c>
      <c r="B68" s="98" t="s">
        <v>601</v>
      </c>
      <c r="C68" s="99" t="s">
        <v>135</v>
      </c>
      <c r="D68" s="183" t="s">
        <v>604</v>
      </c>
      <c r="E68" s="14" t="s">
        <v>428</v>
      </c>
      <c r="F68" s="76" t="s">
        <v>429</v>
      </c>
      <c r="G68" s="32">
        <f t="shared" si="1"/>
        <v>250000</v>
      </c>
      <c r="H68" s="40"/>
      <c r="I68" s="117">
        <v>250000</v>
      </c>
      <c r="J68" s="117">
        <f>I68</f>
        <v>250000</v>
      </c>
    </row>
    <row r="69" spans="1:10" ht="57.75" hidden="1" customHeight="1" x14ac:dyDescent="0.2">
      <c r="A69" s="98" t="s">
        <v>605</v>
      </c>
      <c r="B69" s="98" t="s">
        <v>606</v>
      </c>
      <c r="C69" s="99" t="s">
        <v>135</v>
      </c>
      <c r="D69" s="25" t="s">
        <v>607</v>
      </c>
      <c r="E69" s="14" t="s">
        <v>428</v>
      </c>
      <c r="F69" s="76" t="s">
        <v>429</v>
      </c>
      <c r="G69" s="32">
        <f t="shared" si="1"/>
        <v>700000</v>
      </c>
      <c r="H69" s="40"/>
      <c r="I69" s="117">
        <v>700000</v>
      </c>
      <c r="J69" s="117">
        <f>I69</f>
        <v>700000</v>
      </c>
    </row>
    <row r="70" spans="1:10" ht="38.25" hidden="1" x14ac:dyDescent="0.2">
      <c r="A70" s="13" t="s">
        <v>150</v>
      </c>
      <c r="B70" s="13" t="s">
        <v>151</v>
      </c>
      <c r="C70" s="13" t="s">
        <v>41</v>
      </c>
      <c r="D70" s="14" t="s">
        <v>152</v>
      </c>
      <c r="E70" s="14" t="s">
        <v>440</v>
      </c>
      <c r="F70" s="14" t="s">
        <v>441</v>
      </c>
      <c r="G70" s="32">
        <f t="shared" si="1"/>
        <v>125400</v>
      </c>
      <c r="H70" s="36">
        <f>75400+50000</f>
        <v>125400</v>
      </c>
      <c r="I70" s="36">
        <v>0</v>
      </c>
      <c r="J70" s="36">
        <v>0</v>
      </c>
    </row>
    <row r="71" spans="1:10" ht="41.25" customHeight="1" x14ac:dyDescent="0.2">
      <c r="A71" s="13" t="s">
        <v>153</v>
      </c>
      <c r="B71" s="13" t="s">
        <v>154</v>
      </c>
      <c r="C71" s="13" t="s">
        <v>155</v>
      </c>
      <c r="D71" s="14" t="s">
        <v>156</v>
      </c>
      <c r="E71" s="14" t="s">
        <v>428</v>
      </c>
      <c r="F71" s="76" t="s">
        <v>429</v>
      </c>
      <c r="G71" s="32">
        <f t="shared" si="1"/>
        <v>135000</v>
      </c>
      <c r="H71" s="36"/>
      <c r="I71" s="36">
        <v>135000</v>
      </c>
      <c r="J71" s="36">
        <f>I71</f>
        <v>135000</v>
      </c>
    </row>
    <row r="72" spans="1:10" ht="63.75" hidden="1" x14ac:dyDescent="0.2">
      <c r="A72" s="13" t="s">
        <v>157</v>
      </c>
      <c r="B72" s="13" t="s">
        <v>158</v>
      </c>
      <c r="C72" s="13" t="s">
        <v>155</v>
      </c>
      <c r="D72" s="14" t="s">
        <v>159</v>
      </c>
      <c r="E72" s="14" t="s">
        <v>442</v>
      </c>
      <c r="F72" s="14" t="s">
        <v>443</v>
      </c>
      <c r="G72" s="32">
        <f t="shared" si="1"/>
        <v>53457</v>
      </c>
      <c r="H72" s="36">
        <v>53457</v>
      </c>
      <c r="I72" s="36"/>
      <c r="J72" s="36"/>
    </row>
    <row r="73" spans="1:10" ht="45" customHeight="1" x14ac:dyDescent="0.2">
      <c r="A73" s="13" t="s">
        <v>160</v>
      </c>
      <c r="B73" s="13" t="s">
        <v>161</v>
      </c>
      <c r="C73" s="13" t="s">
        <v>162</v>
      </c>
      <c r="D73" s="14" t="s">
        <v>163</v>
      </c>
      <c r="E73" s="14" t="s">
        <v>428</v>
      </c>
      <c r="F73" s="76" t="s">
        <v>429</v>
      </c>
      <c r="G73" s="32">
        <f t="shared" si="1"/>
        <v>662000</v>
      </c>
      <c r="H73" s="36"/>
      <c r="I73" s="36">
        <v>662000</v>
      </c>
      <c r="J73" s="36">
        <f>I73</f>
        <v>662000</v>
      </c>
    </row>
    <row r="74" spans="1:10" ht="63.75" hidden="1" x14ac:dyDescent="0.2">
      <c r="A74" s="13" t="s">
        <v>168</v>
      </c>
      <c r="B74" s="13" t="s">
        <v>169</v>
      </c>
      <c r="C74" s="13" t="s">
        <v>166</v>
      </c>
      <c r="D74" s="14" t="s">
        <v>170</v>
      </c>
      <c r="E74" s="14" t="s">
        <v>442</v>
      </c>
      <c r="F74" s="14" t="s">
        <v>443</v>
      </c>
      <c r="G74" s="32">
        <f t="shared" si="1"/>
        <v>500000</v>
      </c>
      <c r="H74" s="16">
        <v>500000</v>
      </c>
      <c r="I74" s="36">
        <v>0</v>
      </c>
      <c r="J74" s="36">
        <v>0</v>
      </c>
    </row>
    <row r="75" spans="1:10" ht="38.25" hidden="1" x14ac:dyDescent="0.2">
      <c r="A75" s="13" t="s">
        <v>171</v>
      </c>
      <c r="B75" s="13" t="s">
        <v>172</v>
      </c>
      <c r="C75" s="13" t="s">
        <v>173</v>
      </c>
      <c r="D75" s="14" t="s">
        <v>174</v>
      </c>
      <c r="E75" s="14" t="s">
        <v>444</v>
      </c>
      <c r="F75" s="14" t="s">
        <v>445</v>
      </c>
      <c r="G75" s="32">
        <f t="shared" si="1"/>
        <v>538400</v>
      </c>
      <c r="H75" s="16">
        <f>278400+150000+60000+50000</f>
        <v>538400</v>
      </c>
      <c r="I75" s="36">
        <v>0</v>
      </c>
      <c r="J75" s="36">
        <v>0</v>
      </c>
    </row>
    <row r="76" spans="1:10" ht="38.25" hidden="1" x14ac:dyDescent="0.2">
      <c r="A76" s="13" t="s">
        <v>175</v>
      </c>
      <c r="B76" s="13" t="s">
        <v>176</v>
      </c>
      <c r="C76" s="13" t="s">
        <v>173</v>
      </c>
      <c r="D76" s="14" t="s">
        <v>177</v>
      </c>
      <c r="E76" s="14" t="s">
        <v>444</v>
      </c>
      <c r="F76" s="14" t="s">
        <v>445</v>
      </c>
      <c r="G76" s="32">
        <f t="shared" si="1"/>
        <v>156000</v>
      </c>
      <c r="H76" s="16">
        <f>106000+50000</f>
        <v>156000</v>
      </c>
      <c r="I76" s="36">
        <v>0</v>
      </c>
      <c r="J76" s="36">
        <v>0</v>
      </c>
    </row>
    <row r="77" spans="1:10" ht="57" hidden="1" customHeight="1" x14ac:dyDescent="0.2">
      <c r="A77" s="13" t="s">
        <v>182</v>
      </c>
      <c r="B77" s="13" t="s">
        <v>183</v>
      </c>
      <c r="C77" s="13" t="s">
        <v>173</v>
      </c>
      <c r="D77" s="14" t="s">
        <v>184</v>
      </c>
      <c r="E77" s="77" t="s">
        <v>614</v>
      </c>
      <c r="F77" s="14" t="s">
        <v>437</v>
      </c>
      <c r="G77" s="32">
        <f t="shared" si="1"/>
        <v>306000</v>
      </c>
      <c r="H77" s="16">
        <v>306000</v>
      </c>
      <c r="I77" s="36"/>
      <c r="J77" s="36"/>
    </row>
    <row r="78" spans="1:10" ht="38.25" hidden="1" x14ac:dyDescent="0.2">
      <c r="A78" s="102" t="s">
        <v>505</v>
      </c>
      <c r="B78" s="103">
        <v>5062</v>
      </c>
      <c r="C78" s="24" t="s">
        <v>173</v>
      </c>
      <c r="D78" s="34" t="s">
        <v>506</v>
      </c>
      <c r="E78" s="14" t="s">
        <v>444</v>
      </c>
      <c r="F78" s="14" t="s">
        <v>445</v>
      </c>
      <c r="G78" s="32">
        <f t="shared" si="1"/>
        <v>1520000</v>
      </c>
      <c r="H78" s="16">
        <v>1520000</v>
      </c>
      <c r="I78" s="36"/>
      <c r="J78" s="36"/>
    </row>
    <row r="79" spans="1:10" ht="41.25" hidden="1" customHeight="1" x14ac:dyDescent="0.2">
      <c r="A79" s="102" t="s">
        <v>489</v>
      </c>
      <c r="B79" s="103">
        <v>7321</v>
      </c>
      <c r="C79" s="24" t="s">
        <v>79</v>
      </c>
      <c r="D79" s="116" t="s">
        <v>507</v>
      </c>
      <c r="E79" s="14" t="s">
        <v>428</v>
      </c>
      <c r="F79" s="76" t="s">
        <v>429</v>
      </c>
      <c r="G79" s="32">
        <f t="shared" si="1"/>
        <v>11144975.210000001</v>
      </c>
      <c r="H79" s="16"/>
      <c r="I79" s="36">
        <f>1522338.21+4600000+5022637</f>
        <v>11144975.210000001</v>
      </c>
      <c r="J79" s="36">
        <f>I79</f>
        <v>11144975.210000001</v>
      </c>
    </row>
    <row r="80" spans="1:10" ht="40.5" hidden="1" customHeight="1" x14ac:dyDescent="0.2">
      <c r="A80" s="102" t="s">
        <v>508</v>
      </c>
      <c r="B80" s="109" t="s">
        <v>82</v>
      </c>
      <c r="C80" s="109" t="s">
        <v>79</v>
      </c>
      <c r="D80" s="110" t="s">
        <v>83</v>
      </c>
      <c r="E80" s="77" t="s">
        <v>431</v>
      </c>
      <c r="F80" s="14" t="s">
        <v>427</v>
      </c>
      <c r="G80" s="32">
        <f t="shared" si="1"/>
        <v>35000</v>
      </c>
      <c r="H80" s="16"/>
      <c r="I80" s="36">
        <v>35000</v>
      </c>
      <c r="J80" s="36">
        <f>I80</f>
        <v>35000</v>
      </c>
    </row>
    <row r="81" spans="1:10" ht="45" hidden="1" customHeight="1" x14ac:dyDescent="0.2">
      <c r="A81" s="166" t="s">
        <v>568</v>
      </c>
      <c r="B81" s="41">
        <v>7363</v>
      </c>
      <c r="C81" s="98" t="s">
        <v>94</v>
      </c>
      <c r="D81" s="34" t="s">
        <v>569</v>
      </c>
      <c r="E81" s="14" t="s">
        <v>428</v>
      </c>
      <c r="F81" s="76" t="s">
        <v>429</v>
      </c>
      <c r="G81" s="32">
        <f t="shared" si="1"/>
        <v>171731</v>
      </c>
      <c r="H81" s="16"/>
      <c r="I81" s="36">
        <v>171731</v>
      </c>
      <c r="J81" s="36">
        <f>I81</f>
        <v>171731</v>
      </c>
    </row>
    <row r="82" spans="1:10" ht="42" hidden="1" customHeight="1" x14ac:dyDescent="0.2">
      <c r="A82" s="166" t="s">
        <v>584</v>
      </c>
      <c r="B82" s="41">
        <v>7368</v>
      </c>
      <c r="C82" s="98" t="s">
        <v>94</v>
      </c>
      <c r="D82" s="25" t="s">
        <v>585</v>
      </c>
      <c r="E82" s="14" t="s">
        <v>428</v>
      </c>
      <c r="F82" s="76" t="s">
        <v>429</v>
      </c>
      <c r="G82" s="32">
        <f t="shared" si="1"/>
        <v>9456966</v>
      </c>
      <c r="H82" s="16"/>
      <c r="I82" s="150">
        <v>9456966</v>
      </c>
      <c r="J82" s="36">
        <f>I82</f>
        <v>9456966</v>
      </c>
    </row>
    <row r="83" spans="1:10" x14ac:dyDescent="0.2">
      <c r="A83" s="23" t="s">
        <v>192</v>
      </c>
      <c r="B83" s="23" t="s">
        <v>192</v>
      </c>
      <c r="C83" s="23" t="s">
        <v>192</v>
      </c>
      <c r="D83" s="7" t="s">
        <v>193</v>
      </c>
      <c r="E83" s="7" t="s">
        <v>192</v>
      </c>
      <c r="F83" s="7" t="s">
        <v>192</v>
      </c>
      <c r="G83" s="32">
        <f>G64+G14</f>
        <v>163808590.24000001</v>
      </c>
      <c r="H83" s="32">
        <f>H64+H14</f>
        <v>93199065.260000005</v>
      </c>
      <c r="I83" s="32">
        <f>I64+I14</f>
        <v>70609524.980000004</v>
      </c>
      <c r="J83" s="32">
        <f>J64+J14</f>
        <v>68667025.980000004</v>
      </c>
    </row>
    <row r="85" spans="1:10" x14ac:dyDescent="0.2">
      <c r="A85" s="197" t="s">
        <v>513</v>
      </c>
      <c r="B85" s="197"/>
      <c r="C85" s="197"/>
      <c r="D85" s="197"/>
      <c r="E85" s="197"/>
      <c r="F85" s="197"/>
      <c r="G85" s="197"/>
      <c r="H85" s="197"/>
      <c r="I85" s="197"/>
      <c r="J85" s="197"/>
    </row>
    <row r="86" spans="1:10" ht="18.75" x14ac:dyDescent="0.3">
      <c r="A86" s="43" t="s">
        <v>490</v>
      </c>
      <c r="B86" s="43"/>
      <c r="C86" s="44"/>
      <c r="F86" s="46" t="s">
        <v>491</v>
      </c>
    </row>
  </sheetData>
  <mergeCells count="13">
    <mergeCell ref="F10:F11"/>
    <mergeCell ref="G10:G11"/>
    <mergeCell ref="H10:H11"/>
    <mergeCell ref="I10:J10"/>
    <mergeCell ref="H2:J2"/>
    <mergeCell ref="A5:J5"/>
    <mergeCell ref="A85:J85"/>
    <mergeCell ref="A6:J6"/>
    <mergeCell ref="A10:A11"/>
    <mergeCell ref="B10:B11"/>
    <mergeCell ref="C10:C11"/>
    <mergeCell ref="D10:D11"/>
    <mergeCell ref="E10:E11"/>
  </mergeCells>
  <phoneticPr fontId="34" type="noConversion"/>
  <pageMargins left="0.196850393700787" right="0.196850393700787" top="0.45" bottom="0.31" header="0" footer="0"/>
  <pageSetup paperSize="9" scale="6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6</vt:i4>
      </vt:variant>
    </vt:vector>
  </HeadingPairs>
  <TitlesOfParts>
    <vt:vector size="12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1'!Заголовки_для_друку</vt:lpstr>
      <vt:lpstr>'Додаток 3'!Заголовки_для_друку</vt:lpstr>
      <vt:lpstr>'Додаток 4'!Заголовки_для_друку</vt:lpstr>
      <vt:lpstr>'Додаток 6'!Заголовки_для_друку</vt:lpstr>
      <vt:lpstr>'Додаток 1'!Область_друку</vt:lpstr>
      <vt:lpstr>'Додаток 4'!Область_друку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FinUpr</dc:creator>
  <cp:lastModifiedBy>Secretary</cp:lastModifiedBy>
  <cp:lastPrinted>2023-10-23T07:16:55Z</cp:lastPrinted>
  <dcterms:created xsi:type="dcterms:W3CDTF">2023-01-27T08:43:58Z</dcterms:created>
  <dcterms:modified xsi:type="dcterms:W3CDTF">2023-10-23T07:16:57Z</dcterms:modified>
</cp:coreProperties>
</file>